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ereiche\PM\Azubi\Eva Fink\Downloads Webseite\Gas\Netzzugang\Separater_Netznutzungsvertrag\"/>
    </mc:Choice>
  </mc:AlternateContent>
  <xr:revisionPtr revIDLastSave="0" documentId="8_{2051DCD0-BAF6-4168-8DF6-5EF1A2F831F9}" xr6:coauthVersionLast="47" xr6:coauthVersionMax="47" xr10:uidLastSave="{00000000-0000-0000-0000-000000000000}"/>
  <bookViews>
    <workbookView xWindow="-120" yWindow="-120" windowWidth="25440" windowHeight="15390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7" l="1"/>
  <c r="E58" i="17"/>
  <c r="E59" i="17"/>
  <c r="E60" i="1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E21" i="18" s="1"/>
  <c r="N21" i="18"/>
  <c r="H21" i="18"/>
  <c r="L21" i="18"/>
  <c r="J21" i="18"/>
  <c r="I21" i="18"/>
  <c r="K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70" i="17"/>
  <c r="G70" i="17"/>
  <c r="H70" i="17"/>
  <c r="I70" i="17"/>
  <c r="J70" i="17"/>
  <c r="K70" i="17"/>
  <c r="L70" i="17"/>
  <c r="M70" i="17"/>
  <c r="N70" i="17"/>
  <c r="E70" i="17"/>
  <c r="I55" i="18" l="1"/>
  <c r="F55" i="18"/>
  <c r="E55" i="18" s="1"/>
  <c r="L55" i="18"/>
  <c r="M55" i="18"/>
  <c r="H55" i="18"/>
  <c r="G55" i="18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<sst xmlns="http://schemas.openxmlformats.org/spreadsheetml/2006/main" count="1393" uniqueCount="680">
  <si>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</si>
  <si>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</si>
  <si>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</si>
  <si>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</si>
  <si>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</si>
  <si>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</si>
  <si>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</si>
  <si>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</si>
  <si>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</si>
  <si>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</si>
  <si>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</si>
  <si>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</si>
  <si>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</si>
  <si>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</si>
  <si>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</si>
  <si>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</si>
  <si>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</si>
  <si>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</si>
  <si>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</si>
  <si>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</si>
  <si>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</si>
  <si>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</si>
  <si>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</si>
  <si>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</si>
  <si>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</si>
  <si>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</si>
  <si>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</si>
  <si>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</si>
  <si>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</si>
  <si>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</si>
  <si>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</si>
  <si>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</si>
  <si>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</si>
  <si>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</si>
  <si>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</si>
  <si>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</si>
  <si>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</si>
  <si>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</si>
  <si>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</si>
  <si>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</si>
  <si>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</si>
  <si>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</si>
  <si>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</si>
  <si>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</si>
  <si>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</si>
  <si>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</si>
  <si>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</si>
  <si>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</si>
  <si>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</si>
  <si>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</si>
  <si>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</si>
  <si>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</si>
  <si>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</si>
  <si>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</si>
  <si>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</si>
  <si>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</si>
  <si>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</si>
  <si>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</si>
  <si>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</si>
  <si>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</si>
  <si>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</si>
  <si>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</si>
  <si>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</si>
  <si>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</si>
  <si>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</si>
  <si>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</si>
  <si>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</si>
  <si>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</si>
  <si>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</si>
  <si>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</si>
  <si>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</si>
  <si>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</si>
  <si>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</si>
  <si>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</si>
  <si>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</si>
  <si>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</si>
  <si>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</si>
  <si>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</si>
  <si>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</si>
  <si>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</si>
  <si>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</si>
  <si>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</si>
  <si>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</si>
  <si>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</si>
  <si>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</si>
  <si>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</si>
  <si>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</si>
  <si>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</si>
  <si>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</si>
  <si>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</si>
  <si>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</si>
  <si>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</si>
  <si>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</si>
  <si>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</si>
  <si>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</si>
  <si>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</si>
  <si>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</si>
  <si>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</si>
  <si>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</si>
  <si>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</si>
  <si>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</si>
  <si>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</si>
  <si>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</si>
  <si>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</si>
  <si>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</si>
  <si>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</si>
  <si>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</si>
  <si>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</si>
  <si>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</si>
  <si>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</si>
  <si>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</si>
  <si>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</si>
  <si>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</si>
  <si>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</si>
  <si>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</si>
  <si>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</si>
  <si>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</si>
  <si>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</si>
  <si>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</si>
  <si>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</si>
  <si>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</si>
  <si>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</si>
  <si>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</si>
  <si>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</si>
  <si>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</si>
  <si>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</si>
  <si>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</si>
  <si>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</si>
  <si>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</si>
  <si>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</si>
  <si>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</si>
  <si>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</si>
  <si>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</si>
  <si>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</si>
  <si>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</si>
  <si>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</si>
  <si>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</si>
  <si>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</si>
  <si>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</si>
  <si>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</si>
  <si>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</si>
  <si>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</si>
  <si>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</si>
  <si>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</si>
  <si>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</si>
  <si>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</si>
  <si>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</si>
  <si>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</si>
  <si>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</si>
  <si>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</si>
  <si>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</si>
  <si>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</si>
  <si>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</si>
  <si>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</si>
  <si>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</si>
  <si>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</si>
  <si>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</si>
  <si>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</si>
  <si>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</si>
  <si>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</si>
  <si>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</si>
  <si>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</si>
  <si>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</si>
  <si>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</si>
  <si>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</si>
  <si>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</si>
  <si>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</si>
  <si>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</si>
  <si>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</si>
  <si>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</si>
  <si>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</si>
  <si>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</si>
  <si>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</si>
  <si>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</si>
  <si>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</si>
  <si>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</si>
  <si>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</si>
  <si>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</si>
  <si>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</si>
  <si>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</si>
  <si>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</si>
  <si>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</si>
  <si>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</si>
  <si>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</si>
  <si>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</si>
  <si>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</si>
  <si>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</si>
  <si>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</si>
  <si>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</si>
  <si>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</si>
  <si>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</si>
  <si>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</si>
  <si>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</si>
  <si>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</si>
  <si>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</si>
  <si>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</si>
  <si>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</si>
  <si>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</si>
  <si>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</si>
  <si>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</si>
  <si>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</si>
  <si>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</si>
  <si>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</si>
  <si>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</si>
  <si>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</si>
  <si>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</si>
  <si>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</si>
  <si>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</si>
  <si>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</si>
  <si>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</si>
  <si>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</si>
  <si>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</si>
  <si>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</si>
  <si>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</si>
  <si>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</si>
  <si>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</si>
  <si>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</si>
  <si>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</si>
  <si>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</si>
  <si>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</si>
  <si>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</si>
  <si>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</si>
  <si>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</si>
  <si>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</si>
  <si>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</si>
  <si>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</si>
  <si>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</si>
  <si>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</si>
  <si>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</si>
  <si>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</si>
  <si>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</si>
  <si>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</si>
  <si>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</si>
  <si>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</si>
  <si>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</si>
  <si>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</si>
  <si>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</si>
  <si>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</si>
  <si>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</si>
  <si>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</si>
  <si>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</si>
  <si>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</si>
  <si>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</si>
  <si>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</si>
  <si>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</si>
  <si>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</si>
  <si>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</si>
  <si>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</si>
  <si>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</si>
  <si>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</si>
  <si>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</si>
  <si>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</si>
  <si>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</si>
  <si>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</si>
  <si>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</si>
  <si>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</si>
  <si>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</si>
  <si>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</si>
  <si>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</si>
  <si>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</si>
  <si>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</si>
  <si>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</si>
  <si>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</si>
  <si>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</si>
  <si>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</si>
  <si>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</si>
  <si>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</si>
  <si>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</si>
  <si>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</si>
  <si>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</si>
  <si>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</si>
  <si>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</si>
  <si>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</si>
  <si>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</si>
  <si>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</si>
  <si>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</si>
  <si>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</si>
  <si>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</si>
  <si>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</si>
  <si>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</si>
  <si>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</si>
  <si>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</si>
  <si>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</si>
  <si>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</si>
  <si>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</si>
  <si>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</si>
  <si>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</si>
  <si>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</si>
  <si>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</si>
  <si>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</si>
  <si>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</si>
  <si>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</si>
  <si>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</si>
  <si>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</si>
  <si>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</si>
  <si>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</si>
  <si>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</si>
  <si>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</si>
  <si>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</si>
  <si>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</si>
  <si>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</si>
  <si>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</si>
  <si>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</si>
  <si>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</si>
  <si>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</si>
  <si>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</si>
  <si>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</si>
  <si>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</si>
  <si>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</si>
  <si>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</si>
  <si>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</si>
  <si>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</si>
  <si>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</si>
  <si>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</si>
  <si>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</si>
  <si>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</si>
  <si>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</si>
  <si>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</si>
  <si>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</si>
  <si>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</si>
  <si>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</si>
  <si>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</si>
  <si>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</si>
  <si>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</si>
  <si>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</si>
  <si>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</si>
  <si>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</si>
  <si>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</si>
  <si>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</si>
  <si>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</si>
  <si>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</si>
  <si>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</si>
  <si>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</si>
  <si>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</si>
  <si>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</si>
  <si>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</si>
  <si>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</si>
  <si>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</si>
  <si>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</si>
  <si>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</si>
  <si>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</si>
  <si>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</si>
  <si>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</si>
  <si>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</si>
  <si>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</si>
  <si>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</si>
  <si>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</si>
  <si>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</si>
  <si>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</si>
  <si>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</si>
  <si>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</si>
  <si>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</si>
  <si>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</si>
  <si>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</si>
  <si>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</si>
  <si>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</si>
  <si>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</si>
  <si>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</si>
  <si>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</si>
  <si>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</si>
  <si>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</si>
  <si>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</si>
  <si>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</si>
  <si>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</si>
  <si>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</si>
  <si>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</si>
  <si>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</si>
  <si>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</si>
  <si>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</si>
  <si>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</si>
  <si>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</si>
  <si>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</si>
  <si>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</si>
  <si>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</si>
  <si>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</si>
  <si>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</si>
  <si>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</si>
  <si>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</si>
  <si>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</si>
  <si>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</si>
  <si>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</si>
  <si>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</si>
  <si>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</si>
  <si>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</si>
  <si>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</si>
  <si>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</si>
  <si>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</si>
  <si>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</si>
  <si>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</si>
  <si>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</si>
  <si>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</si>
  <si>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</si>
  <si>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</si>
  <si>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</si>
  <si>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</si>
  <si>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</si>
  <si>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</si>
  <si>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</si>
  <si>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</si>
  <si>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</si>
  <si>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</si>
  <si>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</si>
  <si>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</si>
  <si>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</si>
  <si>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</si>
  <si>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</si>
  <si>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</si>
  <si>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</si>
  <si>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</si>
  <si>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</si>
  <si>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</si>
  <si>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</si>
  <si>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</si>
  <si>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</si>
  <si>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</si>
  <si>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</si>
  <si>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</si>
  <si>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</si>
  <si>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</si>
  <si>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</si>
  <si>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</si>
  <si>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</si>
  <si>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</si>
  <si>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</si>
  <si>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</si>
  <si>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</si>
  <si>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</si>
  <si>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</si>
  <si>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</si>
  <si>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</si>
  <si>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</si>
  <si>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</si>
  <si>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</si>
  <si>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</si>
  <si>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</si>
  <si>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</si>
  <si>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</si>
  <si>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</si>
  <si>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</si>
  <si>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</si>
  <si>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</si>
  <si>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</si>
  <si>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</si>
  <si>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</si>
  <si>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</si>
  <si>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</si>
  <si>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</si>
  <si>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</si>
  <si>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</si>
  <si>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</si>
  <si>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</si>
  <si>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</si>
  <si>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</si>
  <si>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</si>
  <si>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</si>
  <si>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</si>
  <si>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</si>
  <si>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</si>
  <si>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</si>
  <si>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</si>
  <si>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</si>
  <si>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</si>
  <si>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</si>
  <si>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</si>
  <si>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</si>
  <si>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</si>
  <si>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</si>
  <si>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</si>
  <si>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</si>
  <si>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</si>
  <si>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</si>
  <si>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</si>
  <si>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</si>
  <si>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</si>
  <si>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</si>
  <si>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</si>
  <si>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</si>
  <si>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</si>
  <si>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</si>
  <si>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</si>
  <si>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</si>
  <si>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</si>
  <si>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</si>
  <si>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</si>
  <si>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</si>
  <si>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</si>
  <si>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</si>
  <si>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</si>
  <si>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</si>
  <si>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</si>
  <si>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</si>
  <si>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</si>
  <si>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</si>
  <si>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</si>
  <si>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</si>
  <si>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</si>
  <si>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</si>
  <si>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</si>
  <si>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</si>
  <si>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</si>
  <si>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</si>
  <si>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</si>
  <si>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</si>
  <si>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</si>
  <si>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</si>
  <si>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</si>
  <si>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</si>
  <si>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</si>
  <si>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</si>
  <si>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</si>
  <si>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</si>
  <si>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</si>
  <si>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</si>
  <si>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</si>
  <si>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</si>
  <si>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</si>
  <si>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</si>
  <si>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</si>
  <si>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</si>
  <si>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</si>
  <si>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</si>
  <si>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</si>
  <si>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</si>
  <si>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</si>
  <si>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</si>
  <si>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</si>
  <si>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</si>
  <si>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</si>
  <si>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</si>
  <si>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</si>
  <si>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</si>
  <si>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</si>
  <si>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</si>
  <si>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</si>
  <si>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</si>
  <si>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</si>
  <si>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</si>
  <si>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</si>
  <si>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</si>
  <si>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</si>
  <si>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</si>
  <si>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</si>
  <si>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</si>
  <si>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</si>
  <si>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</si>
  <si>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</si>
  <si>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</si>
  <si>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</si>
  <si>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</si>
  <si>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</si>
  <si>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</si>
  <si>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</si>
  <si>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</si>
  <si>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</si>
  <si>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</si>
  <si>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</si>
  <si>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</si>
  <si>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</si>
  <si>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</si>
  <si>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</si>
  <si>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</si>
  <si>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</si>
  <si>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</si>
  <si>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</si>
  <si>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</si>
  <si>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</si>
  <si>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</si>
  <si>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</si>
  <si>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</si>
  <si>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</si>
  <si>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</si>
  <si>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</si>
  <si>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</si>
  <si>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</si>
  <si>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</si>
  <si>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</si>
  <si>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</si>
  <si>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</si>
  <si>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</si>
  <si>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</si>
  <si>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</si>
  <si>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</si>
  <si>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</si>
  <si>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</si>
  <si>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</si>
  <si>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</si>
  <si>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</si>
  <si>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</si>
  <si>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</si>
  <si>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</si>
  <si>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</si>
  <si>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</si>
  <si>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</si>
  <si>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</si>
  <si>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</si>
  <si>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</si>
  <si>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</si>
  <si>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</si>
  <si>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</si>
  <si>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</si>
  <si>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</si>
  <si>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</si>
  <si>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</si>
  <si>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</si>
  <si>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</si>
  <si>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</si>
  <si>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</si>
  <si>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</si>
  <si>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</si>
  <si>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</si>
  <si>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</si>
  <si>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</si>
  <si>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</si>
  <si>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</si>
  <si>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</si>
  <si>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</si>
  <si>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</si>
  <si>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</si>
  <si>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</si>
  <si>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</si>
  <si>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</si>
  <si>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</si>
  <si>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</si>
  <si>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</si>
  <si>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</si>
  <si>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</si>
  <si>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</si>
  <si>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</si>
  <si>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</si>
  <si>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</si>
  <si>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</si>
  <si>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</si>
  <si>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</si>
  <si>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</si>
  <si>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</si>
  <si>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</si>
  <si>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</si>
  <si>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</si>
  <si>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</si>
  <si>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</si>
  <si>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</si>
  <si>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</si>
  <si>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</si>
  <si>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</si>
  <si>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</si>
  <si>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</si>
  <si>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</si>
  <si>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</si>
  <si>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</si>
  <si>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</si>
  <si>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</si>
  <si>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</si>
  <si>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</si>
  <si>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</si>
  <si>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</si>
  <si>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</si>
  <si>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</si>
  <si>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Neubrandenburger Stadtwerke GmbH</t>
  </si>
  <si>
    <t>9870094500006</t>
  </si>
  <si>
    <t>John-Schehr-Straße 1</t>
  </si>
  <si>
    <t>Neubrandenburg</t>
  </si>
  <si>
    <t>Robert Heintze</t>
  </si>
  <si>
    <t>robert.heintze@neu-sw.de</t>
  </si>
  <si>
    <t>0395 3500-294</t>
  </si>
  <si>
    <t>THE0NKH700945000</t>
  </si>
  <si>
    <t>TROLLENHAGEN (WST)</t>
  </si>
  <si>
    <t>TROLLENHAGEN</t>
  </si>
  <si>
    <t>DE_HEF04</t>
  </si>
  <si>
    <t>DE_HMF04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</si>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</sst>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172" fontId="15" fillId="0" borderId="0" applyFont="0" applyFill="0" applyBorder="0">
      <alignment horizontal="left"/>
    </xf>
    <xf numFmtId="0" fontId="16" fillId="3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6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4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41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44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6" fillId="4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48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5" borderId="0" applyNumberFormat="0" applyBorder="0" applyAlignment="0" applyProtection="0"/>
    <xf numFmtId="0" fontId="19" fillId="56" borderId="28" applyNumberFormat="0" applyAlignment="0" applyProtection="0"/>
    <xf numFmtId="0" fontId="20" fillId="56" borderId="29" applyNumberFormat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" fontId="21" fillId="0" borderId="0">
      <protection locked="0"/>
    </xf>
    <xf numFmtId="14" fontId="9" fillId="0" borderId="0"/>
    <xf numFmtId="0" fontId="22" fillId="43" borderId="29" applyNumberFormat="0" applyAlignment="0" applyProtection="0"/>
    <xf numFmtId="0" fontId="23" fillId="0" borderId="30" applyNumberFormat="0" applyFill="0" applyAlignment="0" applyProtection="0"/>
    <xf numFmtId="0" fontId="24" fillId="0" borderId="0" applyNumberFormat="0" applyFill="0" applyBorder="0" applyAlignment="0" applyProtection="0"/>
    <xf numFmtId="173" fontId="9" fillId="0" borderId="0" applyFont="0" applyFill="0" applyBorder="0" applyAlignment="0" applyProtection="0"/>
    <xf numFmtId="174" fontId="21" fillId="0" borderId="0">
      <protection locked="0"/>
    </xf>
    <xf numFmtId="0" fontId="25" fillId="4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" fontId="31" fillId="0" borderId="0">
      <protection locked="0"/>
    </xf>
    <xf numFmtId="1" fontId="31" fillId="0" borderId="0">
      <protection locked="0"/>
    </xf>
    <xf numFmtId="0" fontId="32" fillId="57" borderId="0" applyNumberFormat="0" applyBorder="0" applyAlignment="0" applyProtection="0"/>
    <xf numFmtId="0" fontId="16" fillId="58" borderId="31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34" fillId="1" borderId="0" applyFont="0" applyFill="0" applyBorder="0" applyAlignment="0"/>
    <xf numFmtId="10" fontId="34" fillId="0" borderId="0" applyFont="0" applyFill="0" applyBorder="0" applyAlignment="0"/>
    <xf numFmtId="3" fontId="35" fillId="59" borderId="0" applyNumberFormat="0" applyFont="0" applyBorder="0"/>
    <xf numFmtId="0" fontId="36" fillId="39" borderId="0" applyNumberFormat="0" applyBorder="0" applyAlignment="0" applyProtection="0"/>
    <xf numFmtId="0" fontId="33" fillId="0" borderId="0"/>
    <xf numFmtId="0" fontId="2" fillId="0" borderId="0"/>
    <xf numFmtId="0" fontId="33" fillId="0" borderId="0"/>
    <xf numFmtId="0" fontId="33" fillId="0" borderId="0"/>
    <xf numFmtId="0" fontId="9" fillId="0" borderId="0"/>
    <xf numFmtId="0" fontId="30" fillId="0" borderId="0"/>
    <xf numFmtId="0" fontId="17" fillId="0" borderId="0"/>
    <xf numFmtId="0" fontId="9" fillId="0" borderId="0"/>
    <xf numFmtId="0" fontId="30" fillId="0" borderId="0"/>
    <xf numFmtId="1" fontId="21" fillId="0" borderId="32">
      <protection locked="0"/>
    </xf>
    <xf numFmtId="0" fontId="37" fillId="0" borderId="0" applyNumberFormat="0" applyAlignment="0" applyProtection="0"/>
    <xf numFmtId="0" fontId="4" fillId="0" borderId="1" applyNumberFormat="0" applyFill="0" applyAlignment="0" applyProtection="0"/>
    <xf numFmtId="0" fontId="38" fillId="0" borderId="33" applyNumberFormat="0" applyFill="0" applyAlignment="0" applyProtection="0"/>
    <xf numFmtId="0" fontId="5" fillId="0" borderId="2" applyNumberFormat="0" applyFill="0" applyAlignment="0" applyProtection="0"/>
    <xf numFmtId="0" fontId="39" fillId="0" borderId="34" applyNumberFormat="0" applyFill="0" applyAlignment="0" applyProtection="0"/>
    <xf numFmtId="0" fontId="40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176" fontId="43" fillId="0" borderId="0">
      <alignment horizontal="right"/>
    </xf>
    <xf numFmtId="0" fontId="44" fillId="0" borderId="36" applyNumberFormat="0" applyFill="0" applyAlignment="0" applyProtection="0"/>
    <xf numFmtId="177" fontId="21" fillId="0" borderId="0">
      <protection locked="0"/>
    </xf>
    <xf numFmtId="0" fontId="45" fillId="0" borderId="0" applyNumberFormat="0" applyFill="0" applyBorder="0" applyAlignment="0" applyProtection="0"/>
    <xf numFmtId="0" fontId="46" fillId="60" borderId="37" applyNumberFormat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50" fillId="0" borderId="0"/>
    <xf numFmtId="0" fontId="17" fillId="0" borderId="0"/>
    <xf numFmtId="0" fontId="51" fillId="0" borderId="2" applyNumberFormat="0" applyFill="0" applyAlignment="0" applyProtection="0"/>
    <xf numFmtId="0" fontId="33" fillId="0" borderId="0"/>
    <xf numFmtId="0" fontId="2" fillId="0" borderId="0"/>
    <xf numFmtId="0" fontId="9" fillId="0" borderId="0"/>
    <xf numFmtId="0" fontId="33" fillId="0" borderId="0"/>
    <xf numFmtId="0" fontId="33" fillId="0" borderId="0"/>
    <xf numFmtId="0" fontId="5" fillId="0" borderId="2" applyNumberFormat="0" applyFill="0" applyAlignment="0" applyProtection="0"/>
    <xf numFmtId="0" fontId="54" fillId="0" borderId="1" applyNumberFormat="0" applyFill="0" applyAlignment="0" applyProtection="0"/>
    <xf numFmtId="0" fontId="5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57" fillId="3" borderId="0" applyNumberFormat="0" applyBorder="0" applyAlignment="0" applyProtection="0"/>
    <xf numFmtId="0" fontId="58" fillId="4" borderId="0" applyNumberFormat="0" applyBorder="0" applyAlignment="0" applyProtection="0"/>
    <xf numFmtId="0" fontId="59" fillId="5" borderId="4" applyNumberFormat="0" applyAlignment="0" applyProtection="0"/>
    <xf numFmtId="0" fontId="60" fillId="6" borderId="5" applyNumberFormat="0" applyAlignment="0" applyProtection="0"/>
    <xf numFmtId="0" fontId="61" fillId="6" borderId="4" applyNumberFormat="0" applyAlignment="0" applyProtection="0"/>
    <xf numFmtId="0" fontId="62" fillId="0" borderId="6" applyNumberFormat="0" applyFill="0" applyAlignment="0" applyProtection="0"/>
    <xf numFmtId="0" fontId="52" fillId="7" borderId="7" applyNumberFormat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2" borderId="0" applyNumberFormat="0" applyBorder="0" applyAlignment="0" applyProtection="0"/>
    <xf numFmtId="0" fontId="17" fillId="0" borderId="0"/>
    <xf numFmtId="0" fontId="33" fillId="0" borderId="0"/>
    <xf numFmtId="164" fontId="33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7" fillId="0" borderId="0" xfId="0" applyFont="1"/>
    <xf numFmtId="0" fontId="33" fillId="0" borderId="0" xfId="0" applyFont="1" applyAlignment="1">
      <alignment vertical="center"/>
    </xf>
    <xf numFmtId="0" fontId="8" fillId="0" borderId="0" xfId="0" applyFont="1"/>
    <xf numFmtId="0" fontId="13" fillId="0" borderId="0" xfId="0" applyFont="1"/>
    <xf numFmtId="0" fontId="72" fillId="0" borderId="0" xfId="0" applyFont="1"/>
    <xf numFmtId="0" fontId="0" fillId="0" borderId="0" xfId="0" applyAlignment="1">
      <alignment horizontal="center"/>
    </xf>
    <xf numFmtId="0" fontId="75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2" fillId="0" borderId="0" xfId="0" applyFont="1" applyAlignment="1">
      <alignment vertical="center"/>
    </xf>
    <xf numFmtId="0" fontId="8" fillId="37" borderId="17" xfId="0" applyFont="1" applyFill="1" applyBorder="1"/>
    <xf numFmtId="0" fontId="0" fillId="0" borderId="0" xfId="0" applyAlignment="1">
      <alignment horizontal="right"/>
    </xf>
    <xf numFmtId="14" fontId="76" fillId="33" borderId="17" xfId="86" applyNumberFormat="1" applyFont="1" applyFill="1" applyBorder="1" applyAlignment="1" applyProtection="1">
      <alignment horizontal="center" vertical="center"/>
      <protection locked="0"/>
    </xf>
    <xf numFmtId="0" fontId="76" fillId="63" borderId="0" xfId="86" applyFont="1" applyFill="1"/>
    <xf numFmtId="0" fontId="76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6" fillId="33" borderId="17" xfId="86" applyFont="1" applyFill="1" applyBorder="1" applyAlignment="1" applyProtection="1">
      <alignment horizontal="center"/>
      <protection locked="0"/>
    </xf>
    <xf numFmtId="185" fontId="76" fillId="33" borderId="17" xfId="86" applyNumberFormat="1" applyFont="1" applyFill="1" applyBorder="1" applyAlignment="1" applyProtection="1">
      <alignment horizontal="center"/>
      <protection locked="0"/>
    </xf>
    <xf numFmtId="0" fontId="76" fillId="0" borderId="0" xfId="86" applyFont="1" applyAlignment="1">
      <alignment vertical="center"/>
    </xf>
    <xf numFmtId="186" fontId="76" fillId="33" borderId="17" xfId="86" applyNumberFormat="1" applyFont="1" applyFill="1" applyBorder="1" applyAlignment="1" applyProtection="1">
      <alignment horizontal="center"/>
      <protection locked="0"/>
    </xf>
    <xf numFmtId="14" fontId="76" fillId="0" borderId="0" xfId="86" applyNumberFormat="1" applyFont="1" applyAlignment="1">
      <alignment horizontal="left"/>
    </xf>
    <xf numFmtId="0" fontId="74" fillId="0" borderId="0" xfId="0" applyFont="1"/>
    <xf numFmtId="0" fontId="74" fillId="0" borderId="0" xfId="0" applyFont="1" applyAlignment="1">
      <alignment horizontal="center"/>
    </xf>
    <xf numFmtId="0" fontId="74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9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4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3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6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3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3" fillId="0" borderId="0" xfId="3" applyFont="1" applyProtection="1">
      <protection hidden="1"/>
    </xf>
    <xf numFmtId="14" fontId="76" fillId="0" borderId="0" xfId="86" applyNumberFormat="1" applyFont="1" applyAlignment="1" applyProtection="1">
      <alignment horizontal="left"/>
      <protection hidden="1"/>
    </xf>
    <xf numFmtId="0" fontId="13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4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3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3" fillId="33" borderId="43" xfId="0" applyFont="1" applyFill="1" applyBorder="1" applyAlignment="1" applyProtection="1">
      <alignment horizontal="center" vertical="center" wrapText="1"/>
      <protection locked="0"/>
    </xf>
    <xf numFmtId="0" fontId="13" fillId="33" borderId="50" xfId="0" applyFont="1" applyFill="1" applyBorder="1" applyAlignment="1" applyProtection="1">
      <alignment horizontal="center" vertical="center" wrapText="1"/>
      <protection locked="0"/>
    </xf>
    <xf numFmtId="0" fontId="13" fillId="33" borderId="54" xfId="0" applyFont="1" applyFill="1" applyBorder="1" applyAlignment="1" applyProtection="1">
      <alignment horizontal="center" vertical="center" wrapText="1"/>
      <protection locked="0"/>
    </xf>
    <xf numFmtId="0" fontId="13" fillId="33" borderId="52" xfId="0" applyFont="1" applyFill="1" applyBorder="1" applyAlignment="1" applyProtection="1">
      <alignment horizontal="center" vertical="center" wrapText="1"/>
      <protection locked="0"/>
    </xf>
    <xf numFmtId="0" fontId="9" fillId="0" borderId="0" xfId="3"/>
    <xf numFmtId="0" fontId="13" fillId="0" borderId="0" xfId="3" applyFont="1"/>
    <xf numFmtId="0" fontId="13" fillId="0" borderId="0" xfId="3" applyFont="1" applyAlignment="1">
      <alignment horizontal="right"/>
    </xf>
    <xf numFmtId="0" fontId="13" fillId="71" borderId="48" xfId="0" applyFont="1" applyFill="1" applyBorder="1" applyAlignment="1" applyProtection="1">
      <alignment horizontal="center" vertical="center"/>
      <protection locked="0"/>
    </xf>
    <xf numFmtId="0" fontId="13" fillId="71" borderId="11" xfId="0" applyFont="1" applyFill="1" applyBorder="1" applyAlignment="1" applyProtection="1">
      <alignment horizontal="center" vertical="center"/>
      <protection locked="0"/>
    </xf>
    <xf numFmtId="0" fontId="13" fillId="71" borderId="17" xfId="0" applyFont="1" applyFill="1" applyBorder="1" applyAlignment="1" applyProtection="1">
      <alignment horizontal="center" vertical="center"/>
      <protection locked="0"/>
    </xf>
    <xf numFmtId="0" fontId="13" fillId="71" borderId="14" xfId="0" applyFont="1" applyFill="1" applyBorder="1" applyAlignment="1" applyProtection="1">
      <alignment horizontal="center" vertical="center"/>
      <protection locked="0"/>
    </xf>
    <xf numFmtId="0" fontId="13" fillId="71" borderId="49" xfId="0" applyFont="1" applyFill="1" applyBorder="1" applyAlignment="1" applyProtection="1">
      <alignment horizontal="center" vertical="center"/>
      <protection locked="0"/>
    </xf>
    <xf numFmtId="0" fontId="13" fillId="71" borderId="16" xfId="0" applyFont="1" applyFill="1" applyBorder="1" applyAlignment="1" applyProtection="1">
      <alignment horizontal="center" vertical="center"/>
      <protection locked="0"/>
    </xf>
    <xf numFmtId="0" fontId="71" fillId="0" borderId="0" xfId="3" applyFont="1"/>
    <xf numFmtId="0" fontId="13" fillId="0" borderId="0" xfId="3" applyFont="1" applyAlignment="1">
      <alignment horizontal="left"/>
    </xf>
    <xf numFmtId="0" fontId="77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6" fillId="0" borderId="65" xfId="0" applyFont="1" applyBorder="1" applyAlignment="1">
      <alignment horizontal="center" textRotation="90" wrapText="1"/>
    </xf>
    <xf numFmtId="0" fontId="8" fillId="0" borderId="50" xfId="0" applyFont="1" applyBorder="1"/>
    <xf numFmtId="0" fontId="13" fillId="0" borderId="51" xfId="3" applyFont="1" applyBorder="1"/>
    <xf numFmtId="0" fontId="13" fillId="0" borderId="43" xfId="3" applyFont="1" applyBorder="1" applyAlignment="1">
      <alignment horizontal="center"/>
    </xf>
    <xf numFmtId="0" fontId="13" fillId="0" borderId="43" xfId="3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2" xfId="0" applyFont="1" applyBorder="1"/>
    <xf numFmtId="0" fontId="13" fillId="0" borderId="56" xfId="3" applyFont="1" applyBorder="1"/>
    <xf numFmtId="0" fontId="13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3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60" xfId="0" applyFont="1" applyBorder="1"/>
    <xf numFmtId="0" fontId="0" fillId="0" borderId="61" xfId="0" applyBorder="1"/>
    <xf numFmtId="0" fontId="13" fillId="0" borderId="58" xfId="3" applyFont="1" applyBorder="1"/>
    <xf numFmtId="0" fontId="13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9" fillId="0" borderId="38" xfId="0" applyFont="1" applyBorder="1" applyAlignment="1">
      <alignment vertical="center" readingOrder="1"/>
    </xf>
    <xf numFmtId="0" fontId="8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3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8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1" fillId="36" borderId="21" xfId="0" applyFont="1" applyFill="1" applyBorder="1" applyAlignment="1">
      <alignment horizontal="center" vertical="center" wrapText="1"/>
    </xf>
    <xf numFmtId="165" fontId="82" fillId="34" borderId="24" xfId="3" applyNumberFormat="1" applyFont="1" applyFill="1" applyBorder="1" applyAlignment="1">
      <alignment horizontal="center" vertical="center"/>
    </xf>
    <xf numFmtId="165" fontId="82" fillId="34" borderId="70" xfId="3" applyNumberFormat="1" applyFont="1" applyFill="1" applyBorder="1" applyAlignment="1">
      <alignment horizontal="center" vertical="center"/>
    </xf>
    <xf numFmtId="0" fontId="83" fillId="34" borderId="23" xfId="3" applyFont="1" applyFill="1" applyBorder="1" applyAlignment="1">
      <alignment horizontal="center" vertical="center"/>
    </xf>
    <xf numFmtId="10" fontId="81" fillId="35" borderId="24" xfId="0" applyNumberFormat="1" applyFont="1" applyFill="1" applyBorder="1" applyAlignment="1">
      <alignment horizontal="center" vertical="center"/>
    </xf>
    <xf numFmtId="0" fontId="81" fillId="35" borderId="24" xfId="0" applyFont="1" applyFill="1" applyBorder="1" applyAlignment="1">
      <alignment horizontal="center" vertical="center"/>
    </xf>
    <xf numFmtId="0" fontId="81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8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8" fillId="0" borderId="0" xfId="0" applyFont="1"/>
    <xf numFmtId="0" fontId="8" fillId="36" borderId="17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/>
    </xf>
    <xf numFmtId="189" fontId="13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7" fillId="36" borderId="17" xfId="0" applyNumberFormat="1" applyFont="1" applyFill="1" applyBorder="1" applyAlignment="1">
      <alignment horizontal="center" vertical="center" wrapText="1" readingOrder="1"/>
    </xf>
    <xf numFmtId="0" fontId="72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8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3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3" fillId="0" borderId="0" xfId="0" applyFont="1"/>
    <xf numFmtId="0" fontId="0" fillId="37" borderId="13" xfId="0" applyFill="1" applyBorder="1" applyAlignment="1">
      <alignment horizontal="center" vertical="center"/>
    </xf>
    <xf numFmtId="0" fontId="9" fillId="37" borderId="20" xfId="3" applyFill="1" applyBorder="1" applyAlignment="1">
      <alignment horizontal="center" vertical="center" wrapText="1"/>
    </xf>
    <xf numFmtId="0" fontId="9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10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9" fillId="0" borderId="0" xfId="3" applyAlignment="1">
      <alignment vertical="center"/>
    </xf>
    <xf numFmtId="0" fontId="9" fillId="0" borderId="22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27" xfId="3" applyBorder="1" applyAlignment="1">
      <alignment vertical="center"/>
    </xf>
    <xf numFmtId="0" fontId="9" fillId="0" borderId="26" xfId="3" applyBorder="1" applyAlignment="1">
      <alignment vertical="center"/>
    </xf>
    <xf numFmtId="0" fontId="9" fillId="0" borderId="17" xfId="3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9" fillId="36" borderId="17" xfId="3" applyFill="1" applyBorder="1" applyAlignment="1">
      <alignment horizontal="center" vertical="center"/>
    </xf>
    <xf numFmtId="0" fontId="9" fillId="36" borderId="17" xfId="3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/>
    </xf>
    <xf numFmtId="0" fontId="9" fillId="0" borderId="17" xfId="3" quotePrefix="1" applyBorder="1" applyAlignment="1">
      <alignment horizontal="center" vertical="center"/>
    </xf>
    <xf numFmtId="0" fontId="9" fillId="68" borderId="17" xfId="3" applyFill="1" applyBorder="1" applyAlignment="1">
      <alignment horizontal="justify" vertical="center"/>
    </xf>
    <xf numFmtId="171" fontId="9" fillId="0" borderId="17" xfId="3" applyNumberFormat="1" applyBorder="1" applyAlignment="1">
      <alignment vertical="center"/>
    </xf>
    <xf numFmtId="171" fontId="9" fillId="0" borderId="17" xfId="3" applyNumberFormat="1" applyBorder="1" applyAlignment="1">
      <alignment horizontal="center" vertical="center"/>
    </xf>
    <xf numFmtId="170" fontId="9" fillId="0" borderId="17" xfId="3" applyNumberFormat="1" applyBorder="1" applyAlignment="1">
      <alignment horizontal="center" vertical="center"/>
    </xf>
    <xf numFmtId="0" fontId="9" fillId="67" borderId="17" xfId="3" applyFill="1" applyBorder="1" applyAlignment="1">
      <alignment horizontal="justify" vertical="center"/>
    </xf>
    <xf numFmtId="0" fontId="9" fillId="0" borderId="0" xfId="3" applyAlignment="1">
      <alignment horizontal="center" vertical="center"/>
    </xf>
    <xf numFmtId="171" fontId="9" fillId="0" borderId="0" xfId="3" applyNumberFormat="1" applyAlignment="1">
      <alignment vertical="center"/>
    </xf>
    <xf numFmtId="0" fontId="9" fillId="69" borderId="17" xfId="3" applyFill="1" applyBorder="1" applyAlignment="1">
      <alignment vertical="center" wrapText="1"/>
    </xf>
    <xf numFmtId="0" fontId="9" fillId="35" borderId="17" xfId="3" applyFill="1" applyBorder="1" applyAlignment="1">
      <alignment horizontal="justify" vertical="center"/>
    </xf>
    <xf numFmtId="0" fontId="9" fillId="66" borderId="17" xfId="3" applyFill="1" applyBorder="1" applyAlignment="1">
      <alignment horizontal="justify" vertical="center"/>
    </xf>
    <xf numFmtId="0" fontId="9" fillId="37" borderId="0" xfId="3" applyFill="1" applyAlignment="1">
      <alignment vertical="center"/>
    </xf>
    <xf numFmtId="1" fontId="13" fillId="0" borderId="0" xfId="0" applyNumberFormat="1" applyFont="1" applyProtection="1">
      <protection hidden="1"/>
    </xf>
    <xf numFmtId="0" fontId="48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hidden="1"/>
    </xf>
    <xf numFmtId="0" fontId="13" fillId="70" borderId="0" xfId="0" applyFont="1" applyFill="1" applyProtection="1">
      <protection hidden="1"/>
    </xf>
    <xf numFmtId="0" fontId="13" fillId="70" borderId="0" xfId="0" applyFont="1" applyFill="1"/>
    <xf numFmtId="0" fontId="13" fillId="70" borderId="0" xfId="0" applyFont="1" applyFill="1" applyAlignment="1" applyProtection="1">
      <alignment horizontal="center"/>
      <protection hidden="1"/>
    </xf>
    <xf numFmtId="0" fontId="13" fillId="70" borderId="0" xfId="0" quotePrefix="1" applyFont="1" applyFill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77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3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4" fillId="75" borderId="17" xfId="0" applyNumberFormat="1" applyFont="1" applyFill="1" applyBorder="1" applyAlignment="1" applyProtection="1">
      <alignment horizontal="center"/>
      <protection locked="0"/>
    </xf>
    <xf numFmtId="0" fontId="13" fillId="71" borderId="74" xfId="0" applyFont="1" applyFill="1" applyBorder="1" applyAlignment="1" applyProtection="1">
      <alignment horizontal="center" vertical="center"/>
      <protection locked="0"/>
    </xf>
    <xf numFmtId="0" fontId="13" fillId="71" borderId="20" xfId="0" applyFont="1" applyFill="1" applyBorder="1" applyAlignment="1" applyProtection="1">
      <alignment horizontal="center" vertical="center"/>
      <protection locked="0"/>
    </xf>
    <xf numFmtId="0" fontId="13" fillId="71" borderId="59" xfId="0" applyFont="1" applyFill="1" applyBorder="1" applyAlignment="1" applyProtection="1">
      <alignment horizontal="center" vertical="center"/>
      <protection locked="0"/>
    </xf>
    <xf numFmtId="0" fontId="77" fillId="0" borderId="75" xfId="3" applyFont="1" applyBorder="1" applyAlignment="1">
      <alignment horizontal="center"/>
    </xf>
    <xf numFmtId="0" fontId="77" fillId="0" borderId="76" xfId="3" applyFont="1" applyBorder="1" applyAlignment="1">
      <alignment horizontal="center"/>
    </xf>
    <xf numFmtId="0" fontId="77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3" fillId="34" borderId="0" xfId="69" applyNumberFormat="1" applyFont="1" applyFill="1" applyBorder="1" applyProtection="1"/>
    <xf numFmtId="180" fontId="13" fillId="34" borderId="0" xfId="69" applyNumberFormat="1" applyFont="1" applyFill="1" applyBorder="1" applyAlignment="1" applyProtection="1">
      <alignment horizontal="center"/>
    </xf>
    <xf numFmtId="181" fontId="13" fillId="34" borderId="0" xfId="69" applyNumberFormat="1" applyFont="1" applyFill="1" applyBorder="1" applyProtection="1"/>
    <xf numFmtId="181" fontId="13" fillId="34" borderId="18" xfId="69" applyNumberFormat="1" applyFont="1" applyFill="1" applyBorder="1" applyProtection="1"/>
    <xf numFmtId="179" fontId="13" fillId="76" borderId="0" xfId="69" applyNumberFormat="1" applyFont="1" applyFill="1" applyBorder="1" applyProtection="1"/>
    <xf numFmtId="180" fontId="13" fillId="76" borderId="0" xfId="69" applyNumberFormat="1" applyFont="1" applyFill="1" applyBorder="1" applyAlignment="1" applyProtection="1">
      <alignment horizontal="center"/>
    </xf>
    <xf numFmtId="181" fontId="13" fillId="76" borderId="0" xfId="69" applyNumberFormat="1" applyFont="1" applyFill="1" applyBorder="1" applyProtection="1"/>
    <xf numFmtId="181" fontId="13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3" fillId="76" borderId="40" xfId="69" applyNumberFormat="1" applyFont="1" applyFill="1" applyBorder="1" applyProtection="1"/>
    <xf numFmtId="180" fontId="13" fillId="76" borderId="40" xfId="69" applyNumberFormat="1" applyFont="1" applyFill="1" applyBorder="1" applyAlignment="1" applyProtection="1">
      <alignment horizontal="center"/>
    </xf>
    <xf numFmtId="181" fontId="13" fillId="76" borderId="40" xfId="69" applyNumberFormat="1" applyFont="1" applyFill="1" applyBorder="1" applyProtection="1"/>
    <xf numFmtId="181" fontId="13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7" fillId="0" borderId="50" xfId="3" applyFont="1" applyBorder="1" applyAlignment="1">
      <alignment horizontal="left" vertical="center"/>
    </xf>
    <xf numFmtId="0" fontId="77" fillId="0" borderId="51" xfId="3" applyFont="1" applyBorder="1" applyAlignment="1">
      <alignment horizontal="left" vertical="center"/>
    </xf>
    <xf numFmtId="0" fontId="77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9" fillId="0" borderId="21" xfId="3" applyBorder="1" applyAlignment="1">
      <alignment horizontal="center" vertical="center" wrapText="1"/>
    </xf>
    <xf numFmtId="0" fontId="9" fillId="0" borderId="25" xfId="3" applyBorder="1" applyAlignment="1">
      <alignment horizontal="center" vertical="center"/>
    </xf>
    <xf numFmtId="0" fontId="9" fillId="0" borderId="22" xfId="3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6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4" zoomScaleNormal="100" workbookViewId="0">
      <selection activeCell="D30" sqref="D30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42247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39722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7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17033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7" t="s">
        <v>499</v>
      </c>
      <c r="D28" s="33" t="str">
        <f>IF(D27&lt;&gt;C28,VLOOKUP(D27,$C$29:$D$48,2,FALSE),C28)</f>
        <v>Neubrandenburg</v>
      </c>
      <c r="E28" s="26"/>
    </row>
    <row r="29" spans="2:15">
      <c r="C29" s="16" t="s">
        <v>393</v>
      </c>
      <c r="D29" s="32" t="s">
        <v>660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8" priority="1">
      <formula>IF(CELL("Zeile",D29)&lt;$D$25+CELL("Zeile",$D$29),1,0)</formula>
    </cfRule>
  </conditionalFormatting>
  <conditionalFormatting sqref="D30:D48">
    <cfRule type="expression" dxfId="47" priority="2">
      <formula>IF(CELL(D30)&lt;$D$27+27,1,0)</formula>
    </cfRule>
  </conditionalFormatting>
  <dataValidations count="2">
    <dataValidation type="whole" allowBlank="1" showInputMessage="1" showErrorMessage="1" sqref="D25" xr:uid="{B222EA47-68BD-4995-9920-F158D2931318}">
      <formula1>1</formula1>
      <formula2>20</formula2>
    </dataValidation>
    <dataValidation type="list" allowBlank="1" showInputMessage="1" showErrorMessage="1" sqref="D27" xr:uid="{54FBBEFB-CBE6-4E52-9A19-284D99DD107E}">
      <formula1>$C$28:$C$48</formula1>
    </dataValidation>
  </dataValidations>
  <hyperlinks>
    <hyperlink ref="D21" r:id="rId1" display="max.mustermann@muster.de" xr:uid="{6A4A54F2-102D-4DBE-8558-DA4F7E2030B2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17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Neubrandenburger Stadtwerke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Neubrandenburg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Netzbetreiber!$D$11</f>
        <v>9870094500006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39722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9" t="s">
        <v>616</v>
      </c>
      <c r="I11" s="229" t="s">
        <v>617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653</v>
      </c>
      <c r="D13" s="29" t="s">
        <v>664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575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613</v>
      </c>
      <c r="D19" s="34" t="s">
        <v>609</v>
      </c>
      <c r="H19" s="225" t="s">
        <v>609</v>
      </c>
      <c r="I19" s="225" t="s">
        <v>610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611</v>
      </c>
      <c r="H20" s="225" t="s">
        <v>612</v>
      </c>
      <c r="I20" t="s">
        <v>608</v>
      </c>
      <c r="J20"/>
      <c r="K20"/>
      <c r="L20" s="226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5" t="s">
        <v>611</v>
      </c>
      <c r="I21" s="225" t="s">
        <v>618</v>
      </c>
      <c r="J21"/>
      <c r="K21"/>
      <c r="L21" s="228" t="s">
        <v>619</v>
      </c>
      <c r="M21" s="228" t="s">
        <v>621</v>
      </c>
      <c r="N21" s="228" t="s">
        <v>620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578</v>
      </c>
      <c r="D23" s="29" t="s">
        <v>136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622</v>
      </c>
      <c r="D24" s="29" t="s">
        <v>623</v>
      </c>
      <c r="H24" s="257" t="s">
        <v>623</v>
      </c>
      <c r="I24" s="227" t="s">
        <v>624</v>
      </c>
      <c r="J24" s="227" t="s">
        <v>625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626</v>
      </c>
      <c r="I25" s="228" t="s">
        <v>627</v>
      </c>
      <c r="J25" s="228" t="s">
        <v>628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629</v>
      </c>
      <c r="I26" s="228" t="s">
        <v>630</v>
      </c>
      <c r="J26" s="228" t="s">
        <v>631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577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632</v>
      </c>
      <c r="I29" s="228" t="s">
        <v>633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634</v>
      </c>
      <c r="I30" s="225" t="s">
        <v>629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14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40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2" t="s">
        <v>665</v>
      </c>
    </row>
    <row r="46" spans="2:22" ht="18" customHeight="1">
      <c r="C46" s="16" t="s">
        <v>587</v>
      </c>
      <c r="D46" s="32"/>
    </row>
    <row r="47" spans="2:22" ht="18" customHeight="1">
      <c r="C47" s="16" t="s">
        <v>588</v>
      </c>
      <c r="D47" s="32"/>
    </row>
    <row r="48" spans="2:22" ht="18" customHeight="1">
      <c r="C48" s="16" t="s">
        <v>589</v>
      </c>
      <c r="D48" s="32"/>
    </row>
    <row r="49" spans="3:4" ht="18" customHeight="1">
      <c r="C49" s="16" t="s">
        <v>590</v>
      </c>
      <c r="D49" s="32"/>
    </row>
    <row r="50" spans="3:4" ht="18" customHeight="1">
      <c r="C50" s="16" t="s">
        <v>591</v>
      </c>
      <c r="D50" s="32"/>
    </row>
    <row r="51" spans="3:4" ht="18" customHeight="1">
      <c r="C51" s="16" t="s">
        <v>592</v>
      </c>
      <c r="D51" s="32"/>
    </row>
    <row r="52" spans="3:4" ht="18" customHeight="1">
      <c r="C52" s="16" t="s">
        <v>593</v>
      </c>
      <c r="D52" s="32"/>
    </row>
    <row r="53" spans="3:4" ht="18" customHeight="1">
      <c r="C53" s="16" t="s">
        <v>594</v>
      </c>
      <c r="D53" s="32"/>
    </row>
    <row r="54" spans="3:4" ht="18" customHeight="1">
      <c r="C54" s="16" t="s">
        <v>595</v>
      </c>
      <c r="D54" s="32"/>
    </row>
    <row r="55" spans="3:4" ht="18" customHeight="1">
      <c r="C55" s="16" t="s">
        <v>596</v>
      </c>
      <c r="D55" s="32"/>
    </row>
    <row r="56" spans="3:4" ht="18" customHeight="1">
      <c r="C56" s="16" t="s">
        <v>597</v>
      </c>
      <c r="D56" s="32"/>
    </row>
    <row r="57" spans="3:4" ht="18" customHeight="1">
      <c r="C57" s="16" t="s">
        <v>598</v>
      </c>
      <c r="D57" s="32"/>
    </row>
    <row r="58" spans="3:4" ht="18" customHeight="1">
      <c r="C58" s="16" t="s">
        <v>599</v>
      </c>
      <c r="D58" s="32"/>
    </row>
    <row r="59" spans="3:4" ht="18" customHeight="1">
      <c r="C59" s="16" t="s">
        <v>600</v>
      </c>
      <c r="D59" s="32"/>
    </row>
  </sheetData>
  <conditionalFormatting sqref="D13">
    <cfRule type="expression" dxfId="46" priority="21">
      <formula>IF(#REF!="Gaspool",1,0)</formula>
    </cfRule>
  </conditionalFormatting>
  <conditionalFormatting sqref="D20">
    <cfRule type="expression" dxfId="45" priority="15">
      <formula>IF($D$19=$H$19,1,0)</formula>
    </cfRule>
  </conditionalFormatting>
  <conditionalFormatting sqref="D23:D25">
    <cfRule type="expression" dxfId="44" priority="5">
      <formula>IF($D$15="analytisch",1,0)</formula>
    </cfRule>
  </conditionalFormatting>
  <conditionalFormatting sqref="D24">
    <cfRule type="expression" dxfId="43" priority="3">
      <formula>IF($D$23="nein",1)</formula>
    </cfRule>
  </conditionalFormatting>
  <conditionalFormatting sqref="D25">
    <cfRule type="expression" dxfId="42" priority="2">
      <formula>IF(AND($D$24=$I$24,$D$23=$H$23),1,0)</formula>
    </cfRule>
  </conditionalFormatting>
  <conditionalFormatting sqref="D28">
    <cfRule type="expression" dxfId="41" priority="4">
      <formula>IF($D$15="synthetisch",1,0)</formula>
    </cfRule>
  </conditionalFormatting>
  <conditionalFormatting sqref="D45">
    <cfRule type="expression" dxfId="40" priority="1">
      <formula>IF(CELL("Zeile",D45)&lt;$D$46+CELL("Zeile",$D$48),1,0)</formula>
    </cfRule>
  </conditionalFormatting>
  <conditionalFormatting sqref="D46:D59">
    <cfRule type="expression" dxfId="39" priority="16">
      <formula>IF(CELL(D46)&lt;$D$33+27,1,0)</formula>
    </cfRule>
    <cfRule type="expression" dxfId="38" priority="17">
      <formula>IF(CELL("Zeile",D46)&lt;$D$43+CELL("Zeile",$D$45),1,0)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1" zoomScaleNormal="100" workbookViewId="0">
      <selection activeCell="G18" sqref="G18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Neubrandenburg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1</v>
      </c>
      <c r="G10" s="41"/>
      <c r="H10" s="143" t="s">
        <v>602</v>
      </c>
    </row>
    <row r="11" spans="1:56">
      <c r="C11" s="40" t="s">
        <v>603</v>
      </c>
      <c r="F11" s="247" t="str">
        <f>INDEX('SLP-Verfahren'!D45:D59,'SLP-Temp-Gebiet #01'!F10)</f>
        <v>TROLLENHAGEN (WST)</v>
      </c>
      <c r="G11" s="250"/>
      <c r="H11" s="68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9" t="s">
        <v>445</v>
      </c>
      <c r="D14" s="289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9" t="s">
        <v>385</v>
      </c>
      <c r="D15" s="289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517</v>
      </c>
      <c r="D17" s="145"/>
      <c r="R17" s="171"/>
      <c r="S17" s="171"/>
    </row>
    <row r="18" spans="2:21">
      <c r="C18" s="40" t="s">
        <v>523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525</v>
      </c>
      <c r="D21" s="128" t="s">
        <v>515</v>
      </c>
      <c r="E21" s="242">
        <f>1-SUMPRODUCT(F19:N19,F21:N21)</f>
        <v>1</v>
      </c>
      <c r="F21" s="242"/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537</v>
      </c>
      <c r="D22" s="153">
        <f>SUMPRODUCT(E22:N22,E19:N19)</f>
        <v>1</v>
      </c>
      <c r="E22" s="243">
        <v>1</v>
      </c>
      <c r="F22" s="243"/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139</v>
      </c>
      <c r="F23" s="131"/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1">
      <c r="B24" s="16"/>
      <c r="C24" s="151" t="s">
        <v>520</v>
      </c>
      <c r="D24" s="154"/>
      <c r="E24" s="131" t="s">
        <v>666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1">
      <c r="B25" s="16"/>
      <c r="C25" s="151" t="s">
        <v>514</v>
      </c>
      <c r="D25" s="154"/>
      <c r="E25" s="131">
        <v>10281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503</v>
      </c>
      <c r="F26" s="131"/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655</v>
      </c>
      <c r="T26" s="49" t="s">
        <v>656</v>
      </c>
      <c r="U26" s="49" t="s">
        <v>504</v>
      </c>
    </row>
    <row r="27" spans="2:21">
      <c r="B27" s="16"/>
      <c r="C27" s="151" t="s">
        <v>654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519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526</v>
      </c>
      <c r="D32" s="153" t="s">
        <v>255</v>
      </c>
      <c r="E32" s="240">
        <f>1-SUMPRODUCT(F30:N30,F32:N32)</f>
        <v>0.5333</v>
      </c>
      <c r="F32" s="240">
        <f>ROUND(F33/$D$33,4)</f>
        <v>0.26669999999999999</v>
      </c>
      <c r="G32" s="240">
        <f t="shared" ref="G32:N32" si="3">ROUND(G33/$D$33,4)</f>
        <v>0.1333</v>
      </c>
      <c r="H32" s="240">
        <f t="shared" si="3"/>
        <v>6.6699999999999995E-2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533</v>
      </c>
      <c r="D33" s="242">
        <f>SUMPRODUCT(E33:N33,E30:N30)</f>
        <v>1.875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605</v>
      </c>
      <c r="D36" s="128" t="s">
        <v>606</v>
      </c>
      <c r="E36" s="131" t="s">
        <v>604</v>
      </c>
      <c r="F36" s="131" t="s">
        <v>604</v>
      </c>
      <c r="G36" s="131" t="s">
        <v>604</v>
      </c>
      <c r="H36" s="131" t="s">
        <v>604</v>
      </c>
      <c r="I36" s="131" t="s">
        <v>604</v>
      </c>
      <c r="J36" s="131" t="s">
        <v>604</v>
      </c>
      <c r="K36" s="131" t="s">
        <v>604</v>
      </c>
      <c r="L36" s="131" t="s">
        <v>604</v>
      </c>
      <c r="M36" s="131" t="s">
        <v>604</v>
      </c>
      <c r="N36" s="131" t="s">
        <v>604</v>
      </c>
      <c r="O36" s="152" t="s">
        <v>142</v>
      </c>
      <c r="Q36" s="172"/>
      <c r="R36" s="49" t="s">
        <v>604</v>
      </c>
      <c r="S36" s="49" t="s">
        <v>607</v>
      </c>
      <c r="T36" s="41"/>
    </row>
    <row r="37" spans="2:28">
      <c r="B37" s="16"/>
      <c r="C37" s="154" t="s">
        <v>440</v>
      </c>
      <c r="D37" s="98" t="s">
        <v>538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530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536</v>
      </c>
      <c r="D47" s="164" t="s">
        <v>534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534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579</v>
      </c>
    </row>
    <row r="52" spans="2:15">
      <c r="I52" s="1"/>
    </row>
    <row r="53" spans="2:15">
      <c r="C53" s="40" t="s">
        <v>543</v>
      </c>
      <c r="F53" s="132"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518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525</v>
      </c>
      <c r="D56" s="128" t="s">
        <v>515</v>
      </c>
      <c r="E56" s="240">
        <f>1-SUMPRODUCT(F54:N54,F56:N56)</f>
        <v>1</v>
      </c>
      <c r="F56" s="240">
        <f>ROUND(F57/$D$57,4)</f>
        <v>0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537</v>
      </c>
      <c r="D57" s="153">
        <f>SUMPRODUCT(E57:N57,E54:N54)</f>
        <v>1</v>
      </c>
      <c r="E57" s="241">
        <f>E22</f>
        <v>1</v>
      </c>
      <c r="F57" s="241">
        <f t="shared" ref="F57:N57" si="6">F22</f>
        <v>0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tr">
        <f>E23</f>
        <v>DWD</v>
      </c>
      <c r="F58" s="131">
        <f t="shared" ref="F58:N58" si="7">F23</f>
        <v>0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520</v>
      </c>
      <c r="D59" s="154"/>
      <c r="E59" s="131" t="str">
        <f>E24</f>
        <v>TROLLENHAGEN</v>
      </c>
      <c r="F59" s="131">
        <f t="shared" ref="F59:N59" si="8">F24</f>
        <v>0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521</v>
      </c>
    </row>
    <row r="60" spans="2:15">
      <c r="B60" s="16"/>
      <c r="C60" s="151" t="s">
        <v>514</v>
      </c>
      <c r="D60" s="154"/>
      <c r="E60" s="131">
        <f>E25</f>
        <v>10281</v>
      </c>
      <c r="F60" s="131">
        <f t="shared" ref="F60:N60" si="9">F25</f>
        <v>0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Temp. (2m)</v>
      </c>
      <c r="F61" s="133">
        <f t="shared" ref="F61:N61" si="10">F26</f>
        <v>0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519</v>
      </c>
      <c r="F63" s="132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526</v>
      </c>
      <c r="D66" s="153" t="s">
        <v>255</v>
      </c>
      <c r="E66" s="240">
        <f>1-SUMPRODUCT(F64:N64,F66:N66)</f>
        <v>0.5333</v>
      </c>
      <c r="F66" s="240">
        <f>ROUND(F67/$D$67,4)</f>
        <v>0.26669999999999999</v>
      </c>
      <c r="G66" s="240">
        <f t="shared" ref="G66:N66" si="12">ROUND(G67/$D$67,4)</f>
        <v>0.1333</v>
      </c>
      <c r="H66" s="240">
        <f t="shared" si="12"/>
        <v>6.6699999999999995E-2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533</v>
      </c>
      <c r="D67" s="153">
        <f>SUMPRODUCT(E67:N67,E64:N64)</f>
        <v>1.875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605</v>
      </c>
      <c r="D70" s="128" t="s">
        <v>606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538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0" t="s">
        <v>580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7" priority="1">
      <formula>IF(E$20&gt;$F$18,1,0)</formula>
    </cfRule>
  </conditionalFormatting>
  <conditionalFormatting sqref="E22:N25">
    <cfRule type="expression" dxfId="36" priority="2">
      <formula>IF(E$20&lt;=$F$18,1,0)</formula>
    </cfRule>
  </conditionalFormatting>
  <conditionalFormatting sqref="E26:N26">
    <cfRule type="expression" dxfId="35" priority="27">
      <formula>IF(E$20&lt;=$F$18,1,0)</formula>
    </cfRule>
    <cfRule type="expression" dxfId="34" priority="28">
      <formula>IF(E$20&lt;=$F$18,1,0)</formula>
    </cfRule>
  </conditionalFormatting>
  <conditionalFormatting sqref="E32:N37">
    <cfRule type="expression" dxfId="33" priority="9">
      <formula>IF(E$31&gt;$F$29,1,0)</formula>
    </cfRule>
  </conditionalFormatting>
  <conditionalFormatting sqref="E33:N37">
    <cfRule type="expression" dxfId="32" priority="29">
      <formula>IF(E$31&lt;=$F$29,1,0)</formula>
    </cfRule>
  </conditionalFormatting>
  <conditionalFormatting sqref="E56:N61">
    <cfRule type="expression" dxfId="31" priority="10">
      <formula>IF(E$55&gt;$F$53,1,0)</formula>
    </cfRule>
  </conditionalFormatting>
  <conditionalFormatting sqref="E57:N60">
    <cfRule type="expression" dxfId="30" priority="24">
      <formula>IF(E$55&lt;=$F$53,1,0)</formula>
    </cfRule>
  </conditionalFormatting>
  <conditionalFormatting sqref="E61:N61">
    <cfRule type="expression" dxfId="29" priority="23">
      <formula>IF(E$55&lt;=$F$53,1,0)</formula>
    </cfRule>
  </conditionalFormatting>
  <conditionalFormatting sqref="E66:N71">
    <cfRule type="expression" dxfId="28" priority="3">
      <formula>IF(E$65&gt;$F$63,1,0)</formula>
    </cfRule>
  </conditionalFormatting>
  <conditionalFormatting sqref="E67:N70">
    <cfRule type="expression" dxfId="27" priority="4">
      <formula>IF(E$65&lt;=$F$63,1,0)</formula>
    </cfRule>
  </conditionalFormatting>
  <conditionalFormatting sqref="E71:N71">
    <cfRule type="expression" dxfId="26" priority="8">
      <formula>IF(E$65&lt;=$F$63,1,0)</formula>
    </cfRule>
  </conditionalFormatting>
  <conditionalFormatting sqref="H8:H11">
    <cfRule type="expression" dxfId="25" priority="7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60 I22:N22 F63 G24:N24 G71:N71 E34:N35 E70:N70 G25:N25 F33:N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Neubrandenburg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2</v>
      </c>
      <c r="G10" s="41"/>
      <c r="H10" s="143" t="s">
        <v>602</v>
      </c>
    </row>
    <row r="11" spans="1:56">
      <c r="C11" s="40" t="s">
        <v>603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9" t="s">
        <v>445</v>
      </c>
      <c r="D14" s="289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9" t="s">
        <v>385</v>
      </c>
      <c r="D15" s="289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517</v>
      </c>
      <c r="D17" s="145"/>
      <c r="R17" s="171"/>
      <c r="S17" s="171"/>
    </row>
    <row r="18" spans="2:20">
      <c r="C18" s="40" t="s">
        <v>523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525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537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>
      <c r="B24" s="16"/>
      <c r="C24" s="151" t="s">
        <v>520</v>
      </c>
      <c r="D24" s="154"/>
      <c r="E24" s="131" t="s">
        <v>581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0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>
      <c r="B27" s="16"/>
      <c r="C27" s="155"/>
      <c r="Q27" s="172"/>
    </row>
    <row r="28" spans="2:20">
      <c r="C28" s="40" t="s">
        <v>519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526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533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>
      <c r="B35" s="16"/>
      <c r="C35" s="151" t="s">
        <v>605</v>
      </c>
      <c r="D35" s="128" t="s">
        <v>606</v>
      </c>
      <c r="E35" s="131" t="s">
        <v>604</v>
      </c>
      <c r="F35" s="131" t="s">
        <v>604</v>
      </c>
      <c r="G35" s="131" t="s">
        <v>604</v>
      </c>
      <c r="H35" s="131" t="s">
        <v>604</v>
      </c>
      <c r="I35" s="131" t="s">
        <v>604</v>
      </c>
      <c r="J35" s="131" t="s">
        <v>604</v>
      </c>
      <c r="K35" s="131" t="s">
        <v>604</v>
      </c>
      <c r="L35" s="131" t="s">
        <v>604</v>
      </c>
      <c r="M35" s="131" t="s">
        <v>604</v>
      </c>
      <c r="N35" s="131" t="s">
        <v>604</v>
      </c>
      <c r="O35" s="152" t="s">
        <v>142</v>
      </c>
      <c r="Q35" s="172"/>
      <c r="R35" s="49" t="s">
        <v>604</v>
      </c>
      <c r="S35" s="49" t="s">
        <v>607</v>
      </c>
      <c r="T35" s="41"/>
    </row>
    <row r="36" spans="2:28">
      <c r="B36" s="16"/>
      <c r="C36" s="154" t="s">
        <v>440</v>
      </c>
      <c r="D36" s="98" t="s">
        <v>538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531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524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529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530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535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536</v>
      </c>
      <c r="D46" s="164" t="s">
        <v>534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534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579</v>
      </c>
    </row>
    <row r="51" spans="2:15">
      <c r="I51" s="1"/>
    </row>
    <row r="52" spans="2:15">
      <c r="C52" s="40" t="s">
        <v>543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518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525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537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520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521</v>
      </c>
    </row>
    <row r="59" spans="2:15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519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526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533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605</v>
      </c>
      <c r="D69" s="128" t="s">
        <v>606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440</v>
      </c>
      <c r="D70" s="98" t="s">
        <v>538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0" t="s">
        <v>580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M28" sqref="M28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Neubrandenburger Stadtwerke GmbH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Neubrandenburg</v>
      </c>
      <c r="I6" s="8" t="s">
        <v>508</v>
      </c>
    </row>
    <row r="7" spans="2:26">
      <c r="C7" s="38" t="s">
        <v>485</v>
      </c>
      <c r="D7" s="39" t="str">
        <f>Netzbetreiber!$D$11</f>
        <v>9870094500006</v>
      </c>
    </row>
    <row r="8" spans="2:26">
      <c r="C8" s="38" t="s">
        <v>133</v>
      </c>
      <c r="D8" s="37">
        <f>Netzbetreiber!$D$6</f>
        <v>39722</v>
      </c>
      <c r="H8" t="s">
        <v>493</v>
      </c>
      <c r="J8" s="108">
        <f>COUNTA(D12:D100)</f>
        <v>14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635</v>
      </c>
      <c r="M10" s="125" t="s">
        <v>644</v>
      </c>
      <c r="N10" s="126" t="s">
        <v>645</v>
      </c>
      <c r="O10" s="126" t="s">
        <v>646</v>
      </c>
      <c r="P10" s="127" t="s">
        <v>647</v>
      </c>
      <c r="Q10" s="121" t="s">
        <v>636</v>
      </c>
      <c r="R10" s="111" t="s">
        <v>637</v>
      </c>
      <c r="S10" s="112" t="s">
        <v>638</v>
      </c>
      <c r="T10" s="112" t="s">
        <v>639</v>
      </c>
      <c r="U10" s="112" t="s">
        <v>640</v>
      </c>
      <c r="V10" s="112" t="s">
        <v>641</v>
      </c>
      <c r="W10" s="112" t="s">
        <v>642</v>
      </c>
      <c r="X10" s="113" t="s">
        <v>643</v>
      </c>
      <c r="Y10" s="254" t="s">
        <v>648</v>
      </c>
    </row>
    <row r="11" spans="2:26" ht="15.75" thickBot="1">
      <c r="B11" s="114" t="s">
        <v>494</v>
      </c>
      <c r="C11" s="115" t="s">
        <v>509</v>
      </c>
      <c r="D11" s="253" t="s">
        <v>248</v>
      </c>
      <c r="E11" s="138" t="s">
        <v>516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Neubrandenburg</v>
      </c>
      <c r="D12" s="46" t="s">
        <v>248</v>
      </c>
      <c r="E12" s="139" t="s">
        <v>667</v>
      </c>
      <c r="F12" s="256" t="str">
        <f>VLOOKUP($E12,'BDEW-Standard'!$B$3:$M$94,F$9,0)</f>
        <v>D14</v>
      </c>
      <c r="H12" s="231">
        <f>ROUND(VLOOKUP($E12,'BDEW-Standard'!$B$3:$M$94,H$9,0),7)</f>
        <v>3.1850190999999999</v>
      </c>
      <c r="I12" s="231">
        <f>ROUND(VLOOKUP($E12,'BDEW-Standard'!$B$3:$M$94,I$9,0),7)</f>
        <v>-37.412415500000002</v>
      </c>
      <c r="J12" s="231">
        <f>ROUND(VLOOKUP($E12,'BDEW-Standard'!$B$3:$M$94,J$9,0),7)</f>
        <v>6.1723179000000004</v>
      </c>
      <c r="K12" s="231">
        <f>ROUND(VLOOKUP($E12,'BDEW-Standard'!$B$3:$M$94,K$9,0),7)</f>
        <v>7.6109599999999999E-2</v>
      </c>
      <c r="L12" s="232">
        <f>ROUND(VLOOKUP($E12,'BDEW-Standard'!$B$3:$M$94,L$9,0),1)</f>
        <v>40</v>
      </c>
      <c r="M12" s="231">
        <f>ROUND(VLOOKUP($E12,'BDEW-Standard'!$B$3:$M$94,M$9,0),7)</f>
        <v>0</v>
      </c>
      <c r="N12" s="231">
        <f>ROUND(VLOOKUP($E12,'BDEW-Standard'!$B$3:$M$94,N$9,0),7)</f>
        <v>0</v>
      </c>
      <c r="O12" s="231">
        <f>ROUND(VLOOKUP($E12,'BDEW-Standard'!$B$3:$M$94,O$9,0),7)</f>
        <v>0</v>
      </c>
      <c r="P12" s="231">
        <f>ROUND(VLOOKUP($E12,'BDEW-Standard'!$B$3:$M$94,P$9,0),7)</f>
        <v>0</v>
      </c>
      <c r="Q12" s="233">
        <f t="shared" ref="Q12:Q25" si="1">($H12/(1+($I12/($Q$9-$L12))^$J12)+$K12)+MAX($M12*$Q$9+$N12,$O12*$Q$9+$P12)</f>
        <v>0.95508749343949439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Neubrandenburg</v>
      </c>
      <c r="D13" s="46" t="s">
        <v>248</v>
      </c>
      <c r="E13" s="139" t="s">
        <v>668</v>
      </c>
      <c r="F13" s="256" t="str">
        <f>VLOOKUP($E13,'BDEW-Standard'!$B$3:$M$94,F$9,0)</f>
        <v>D24</v>
      </c>
      <c r="H13" s="231">
        <f>ROUND(VLOOKUP($E13,'BDEW-Standard'!$B$3:$M$94,H$9,0),7)</f>
        <v>2.5187775000000001</v>
      </c>
      <c r="I13" s="231">
        <f>ROUND(VLOOKUP($E13,'BDEW-Standard'!$B$3:$M$94,I$9,0),7)</f>
        <v>-35.033375399999997</v>
      </c>
      <c r="J13" s="231">
        <f>ROUND(VLOOKUP($E13,'BDEW-Standard'!$B$3:$M$94,J$9,0),7)</f>
        <v>6.2240634000000004</v>
      </c>
      <c r="K13" s="231">
        <f>ROUND(VLOOKUP($E13,'BDEW-Standard'!$B$3:$M$94,K$9,0),7)</f>
        <v>0.10107820000000001</v>
      </c>
      <c r="L13" s="232">
        <f>ROUND(VLOOKUP($E13,'BDEW-Standard'!$B$3:$M$94,L$9,0),1)</f>
        <v>40</v>
      </c>
      <c r="M13" s="231">
        <f>ROUND(VLOOKUP($E13,'BDEW-Standard'!$B$3:$M$94,M$9,0),7)</f>
        <v>0</v>
      </c>
      <c r="N13" s="231">
        <f>ROUND(VLOOKUP($E13,'BDEW-Standard'!$B$3:$M$94,N$9,0),7)</f>
        <v>0</v>
      </c>
      <c r="O13" s="231">
        <f>ROUND(VLOOKUP($E13,'BDEW-Standard'!$B$3:$M$94,O$9,0),7)</f>
        <v>0</v>
      </c>
      <c r="P13" s="231">
        <f>ROUND(VLOOKUP($E13,'BDEW-Standard'!$B$3:$M$94,P$9,0),7)</f>
        <v>0</v>
      </c>
      <c r="Q13" s="233">
        <f t="shared" si="1"/>
        <v>1.0146273685996503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:X25" si="2"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Neubrandenburg</v>
      </c>
      <c r="D14" s="46" t="s">
        <v>248</v>
      </c>
      <c r="E14" s="139" t="s">
        <v>669</v>
      </c>
      <c r="F14" s="256" t="str">
        <f>VLOOKUP($E14,'BDEW-Standard'!$B$3:$M$94,F$9,0)</f>
        <v>BA4</v>
      </c>
      <c r="H14" s="231">
        <f>ROUND(VLOOKUP($E14,'BDEW-Standard'!$B$3:$M$94,H$9,0),7)</f>
        <v>0.93158890000000005</v>
      </c>
      <c r="I14" s="231">
        <f>ROUND(VLOOKUP($E14,'BDEW-Standard'!$B$3:$M$94,I$9,0),7)</f>
        <v>-33.35</v>
      </c>
      <c r="J14" s="231">
        <f>ROUND(VLOOKUP($E14,'BDEW-Standard'!$B$3:$M$94,J$9,0),7)</f>
        <v>5.7212303000000002</v>
      </c>
      <c r="K14" s="231">
        <f>ROUND(VLOOKUP($E14,'BDEW-Standard'!$B$3:$M$94,K$9,0),7)</f>
        <v>0.66564939999999995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si="1"/>
        <v>1.0766391850538448</v>
      </c>
      <c r="R14" s="234">
        <f>ROUND(VLOOKUP(MID($E14,4,3),'Wochentag F(WT)'!$B$7:$J$22,R$9,0),4)</f>
        <v>1.0848</v>
      </c>
      <c r="S14" s="234">
        <f>ROUND(VLOOKUP(MID($E14,4,3),'Wochentag F(WT)'!$B$7:$J$22,S$9,0),4)</f>
        <v>1.1211</v>
      </c>
      <c r="T14" s="234">
        <f>ROUND(VLOOKUP(MID($E14,4,3),'Wochentag F(WT)'!$B$7:$J$22,T$9,0),4)</f>
        <v>1.0769</v>
      </c>
      <c r="U14" s="234">
        <f>ROUND(VLOOKUP(MID($E14,4,3),'Wochentag F(WT)'!$B$7:$J$22,U$9,0),4)</f>
        <v>1.1353</v>
      </c>
      <c r="V14" s="234">
        <f>ROUND(VLOOKUP(MID($E14,4,3),'Wochentag F(WT)'!$B$7:$J$22,V$9,0),4)</f>
        <v>1.1402000000000001</v>
      </c>
      <c r="W14" s="234">
        <f>ROUND(VLOOKUP(MID($E14,4,3),'Wochentag F(WT)'!$B$7:$J$22,W$9,0),4)</f>
        <v>0.48520000000000002</v>
      </c>
      <c r="X14" s="235">
        <f t="shared" si="2"/>
        <v>0.95650000000000013</v>
      </c>
      <c r="Y14" s="252"/>
      <c r="Z14" s="173"/>
    </row>
    <row r="15" spans="2:26" s="118" customFormat="1">
      <c r="B15" s="119">
        <v>4</v>
      </c>
      <c r="C15" s="120" t="str">
        <f t="shared" si="0"/>
        <v>Neubrandenburg</v>
      </c>
      <c r="D15" s="46" t="s">
        <v>248</v>
      </c>
      <c r="E15" s="139" t="s">
        <v>670</v>
      </c>
      <c r="F15" s="256" t="str">
        <f>VLOOKUP($E15,'BDEW-Standard'!$B$3:$M$94,F$9,0)</f>
        <v>BD4</v>
      </c>
      <c r="H15" s="231">
        <f>ROUND(VLOOKUP($E15,'BDEW-Standard'!$B$3:$M$94,H$9,0),7)</f>
        <v>3.75</v>
      </c>
      <c r="I15" s="231">
        <f>ROUND(VLOOKUP($E15,'BDEW-Standard'!$B$3:$M$94,I$9,0),7)</f>
        <v>-37.5</v>
      </c>
      <c r="J15" s="231">
        <f>ROUND(VLOOKUP($E15,'BDEW-Standard'!$B$3:$M$94,J$9,0),7)</f>
        <v>6.8</v>
      </c>
      <c r="K15" s="231">
        <f>ROUND(VLOOKUP($E15,'BDEW-Standard'!$B$3:$M$94,K$9,0),7)</f>
        <v>6.0911300000000002E-2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1.0126136468627658</v>
      </c>
      <c r="R15" s="234">
        <f>ROUND(VLOOKUP(MID($E15,4,3),'Wochentag F(WT)'!$B$7:$J$22,R$9,0),4)</f>
        <v>1.1052</v>
      </c>
      <c r="S15" s="234">
        <f>ROUND(VLOOKUP(MID($E15,4,3),'Wochentag F(WT)'!$B$7:$J$22,S$9,0),4)</f>
        <v>1.0857000000000001</v>
      </c>
      <c r="T15" s="234">
        <f>ROUND(VLOOKUP(MID($E15,4,3),'Wochentag F(WT)'!$B$7:$J$22,T$9,0),4)</f>
        <v>1.0378000000000001</v>
      </c>
      <c r="U15" s="234">
        <f>ROUND(VLOOKUP(MID($E15,4,3),'Wochentag F(WT)'!$B$7:$J$22,U$9,0),4)</f>
        <v>1.0622</v>
      </c>
      <c r="V15" s="234">
        <f>ROUND(VLOOKUP(MID($E15,4,3),'Wochentag F(WT)'!$B$7:$J$22,V$9,0),4)</f>
        <v>1.0266</v>
      </c>
      <c r="W15" s="234">
        <f>ROUND(VLOOKUP(MID($E15,4,3),'Wochentag F(WT)'!$B$7:$J$22,W$9,0),4)</f>
        <v>0.76290000000000002</v>
      </c>
      <c r="X15" s="235">
        <f t="shared" si="2"/>
        <v>0.91959999999999997</v>
      </c>
      <c r="Y15" s="252"/>
      <c r="Z15" s="173"/>
    </row>
    <row r="16" spans="2:26" s="118" customFormat="1">
      <c r="B16" s="119">
        <v>5</v>
      </c>
      <c r="C16" s="120" t="str">
        <f t="shared" si="0"/>
        <v>Neubrandenburg</v>
      </c>
      <c r="D16" s="46" t="s">
        <v>248</v>
      </c>
      <c r="E16" s="139" t="s">
        <v>671</v>
      </c>
      <c r="F16" s="256" t="str">
        <f>VLOOKUP($E16,'BDEW-Standard'!$B$3:$M$94,F$9,0)</f>
        <v>BH4</v>
      </c>
      <c r="H16" s="231">
        <f>ROUND(VLOOKUP($E16,'BDEW-Standard'!$B$3:$M$94,H$9,0),7)</f>
        <v>2.4595180999999999</v>
      </c>
      <c r="I16" s="231">
        <f>ROUND(VLOOKUP($E16,'BDEW-Standard'!$B$3:$M$94,I$9,0),7)</f>
        <v>-35.253212400000002</v>
      </c>
      <c r="J16" s="231">
        <f>ROUND(VLOOKUP($E16,'BDEW-Standard'!$B$3:$M$94,J$9,0),7)</f>
        <v>6.0587001000000003</v>
      </c>
      <c r="K16" s="231">
        <f>ROUND(VLOOKUP($E16,'BDEW-Standard'!$B$3:$M$94,K$9,0),7)</f>
        <v>0.16473699999999999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1.043802057143173</v>
      </c>
      <c r="R16" s="234">
        <f>ROUND(VLOOKUP(MID($E16,4,3),'Wochentag F(WT)'!$B$7:$J$22,R$9,0),4)</f>
        <v>0.97670000000000001</v>
      </c>
      <c r="S16" s="234">
        <f>ROUND(VLOOKUP(MID($E16,4,3),'Wochentag F(WT)'!$B$7:$J$22,S$9,0),4)</f>
        <v>1.0388999999999999</v>
      </c>
      <c r="T16" s="234">
        <f>ROUND(VLOOKUP(MID($E16,4,3),'Wochentag F(WT)'!$B$7:$J$22,T$9,0),4)</f>
        <v>1.0027999999999999</v>
      </c>
      <c r="U16" s="234">
        <f>ROUND(VLOOKUP(MID($E16,4,3),'Wochentag F(WT)'!$B$7:$J$22,U$9,0),4)</f>
        <v>1.0162</v>
      </c>
      <c r="V16" s="234">
        <f>ROUND(VLOOKUP(MID($E16,4,3),'Wochentag F(WT)'!$B$7:$J$22,V$9,0),4)</f>
        <v>1.0024</v>
      </c>
      <c r="W16" s="234">
        <f>ROUND(VLOOKUP(MID($E16,4,3),'Wochentag F(WT)'!$B$7:$J$22,W$9,0),4)</f>
        <v>1.0043</v>
      </c>
      <c r="X16" s="235">
        <f t="shared" si="2"/>
        <v>0.95870000000000122</v>
      </c>
      <c r="Y16" s="252"/>
      <c r="Z16" s="173"/>
    </row>
    <row r="17" spans="2:26" s="118" customFormat="1">
      <c r="B17" s="119">
        <v>6</v>
      </c>
      <c r="C17" s="120" t="str">
        <f t="shared" si="0"/>
        <v>Neubrandenburg</v>
      </c>
      <c r="D17" s="46" t="s">
        <v>248</v>
      </c>
      <c r="E17" s="139" t="s">
        <v>672</v>
      </c>
      <c r="F17" s="256" t="str">
        <f>VLOOKUP($E17,'BDEW-Standard'!$B$3:$M$94,F$9,0)</f>
        <v>GA4</v>
      </c>
      <c r="H17" s="231">
        <f>ROUND(VLOOKUP($E17,'BDEW-Standard'!$B$3:$M$94,H$9,0),7)</f>
        <v>2.8195655999999998</v>
      </c>
      <c r="I17" s="231">
        <f>ROUND(VLOOKUP($E17,'BDEW-Standard'!$B$3:$M$94,I$9,0),7)</f>
        <v>-36</v>
      </c>
      <c r="J17" s="231">
        <f>ROUND(VLOOKUP($E17,'BDEW-Standard'!$B$3:$M$94,J$9,0),7)</f>
        <v>7.7368518000000002</v>
      </c>
      <c r="K17" s="231">
        <f>ROUND(VLOOKUP($E17,'BDEW-Standard'!$B$3:$M$94,K$9,0),7)</f>
        <v>0.157281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0.96576337685759206</v>
      </c>
      <c r="R17" s="234">
        <f>ROUND(VLOOKUP(MID($E17,4,3),'Wochentag F(WT)'!$B$7:$J$22,R$9,0),4)</f>
        <v>0.93220000000000003</v>
      </c>
      <c r="S17" s="234">
        <f>ROUND(VLOOKUP(MID($E17,4,3),'Wochentag F(WT)'!$B$7:$J$22,S$9,0),4)</f>
        <v>0.98939999999999995</v>
      </c>
      <c r="T17" s="234">
        <f>ROUND(VLOOKUP(MID($E17,4,3),'Wochentag F(WT)'!$B$7:$J$22,T$9,0),4)</f>
        <v>1.0033000000000001</v>
      </c>
      <c r="U17" s="234">
        <f>ROUND(VLOOKUP(MID($E17,4,3),'Wochentag F(WT)'!$B$7:$J$22,U$9,0),4)</f>
        <v>1.0108999999999999</v>
      </c>
      <c r="V17" s="234">
        <f>ROUND(VLOOKUP(MID($E17,4,3),'Wochentag F(WT)'!$B$7:$J$22,V$9,0),4)</f>
        <v>1.018</v>
      </c>
      <c r="W17" s="234">
        <f>ROUND(VLOOKUP(MID($E17,4,3),'Wochentag F(WT)'!$B$7:$J$22,W$9,0),4)</f>
        <v>1.0356000000000001</v>
      </c>
      <c r="X17" s="235">
        <f t="shared" si="2"/>
        <v>1.0106000000000002</v>
      </c>
      <c r="Y17" s="252"/>
      <c r="Z17" s="173"/>
    </row>
    <row r="18" spans="2:26" s="118" customFormat="1">
      <c r="B18" s="119">
        <v>7</v>
      </c>
      <c r="C18" s="120" t="str">
        <f t="shared" si="0"/>
        <v>Neubrandenburg</v>
      </c>
      <c r="D18" s="46" t="s">
        <v>248</v>
      </c>
      <c r="E18" s="139" t="s">
        <v>673</v>
      </c>
      <c r="F18" s="256" t="str">
        <f>VLOOKUP($E18,'BDEW-Standard'!$B$3:$M$94,F$9,0)</f>
        <v>GB4</v>
      </c>
      <c r="H18" s="231">
        <f>ROUND(VLOOKUP($E18,'BDEW-Standard'!$B$3:$M$94,H$9,0),7)</f>
        <v>3.6017736</v>
      </c>
      <c r="I18" s="231">
        <f>ROUND(VLOOKUP($E18,'BDEW-Standard'!$B$3:$M$94,I$9,0),7)</f>
        <v>-37.882536799999997</v>
      </c>
      <c r="J18" s="231">
        <f>ROUND(VLOOKUP($E18,'BDEW-Standard'!$B$3:$M$94,J$9,0),7)</f>
        <v>6.9836070000000001</v>
      </c>
      <c r="K18" s="231">
        <f>ROUND(VLOOKUP($E18,'BDEW-Standard'!$B$3:$M$94,K$9,0),7)</f>
        <v>5.4826199999999999E-2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0.90239375975311864</v>
      </c>
      <c r="R18" s="234">
        <f>ROUND(VLOOKUP(MID($E18,4,3),'Wochentag F(WT)'!$B$7:$J$22,R$9,0),4)</f>
        <v>0.98970000000000002</v>
      </c>
      <c r="S18" s="234">
        <f>ROUND(VLOOKUP(MID($E18,4,3),'Wochentag F(WT)'!$B$7:$J$22,S$9,0),4)</f>
        <v>0.9627</v>
      </c>
      <c r="T18" s="234">
        <f>ROUND(VLOOKUP(MID($E18,4,3),'Wochentag F(WT)'!$B$7:$J$22,T$9,0),4)</f>
        <v>1.0507</v>
      </c>
      <c r="U18" s="234">
        <f>ROUND(VLOOKUP(MID($E18,4,3),'Wochentag F(WT)'!$B$7:$J$22,U$9,0),4)</f>
        <v>1.0551999999999999</v>
      </c>
      <c r="V18" s="234">
        <f>ROUND(VLOOKUP(MID($E18,4,3),'Wochentag F(WT)'!$B$7:$J$22,V$9,0),4)</f>
        <v>1.0297000000000001</v>
      </c>
      <c r="W18" s="234">
        <f>ROUND(VLOOKUP(MID($E18,4,3),'Wochentag F(WT)'!$B$7:$J$22,W$9,0),4)</f>
        <v>0.97670000000000001</v>
      </c>
      <c r="X18" s="235">
        <f t="shared" si="2"/>
        <v>0.9352999999999998</v>
      </c>
      <c r="Y18" s="252"/>
      <c r="Z18" s="173"/>
    </row>
    <row r="19" spans="2:26" s="118" customFormat="1">
      <c r="B19" s="119">
        <v>8</v>
      </c>
      <c r="C19" s="120" t="str">
        <f t="shared" si="0"/>
        <v>Neubrandenburg</v>
      </c>
      <c r="D19" s="46" t="s">
        <v>248</v>
      </c>
      <c r="E19" s="139" t="s">
        <v>674</v>
      </c>
      <c r="F19" s="256" t="str">
        <f>VLOOKUP($E19,'BDEW-Standard'!$B$3:$M$94,F$9,0)</f>
        <v>HA4</v>
      </c>
      <c r="H19" s="231">
        <f>ROUND(VLOOKUP($E19,'BDEW-Standard'!$B$3:$M$94,H$9,0),7)</f>
        <v>4.0196902000000003</v>
      </c>
      <c r="I19" s="231">
        <f>ROUND(VLOOKUP($E19,'BDEW-Standard'!$B$3:$M$94,I$9,0),7)</f>
        <v>-37.828203700000003</v>
      </c>
      <c r="J19" s="231">
        <f>ROUND(VLOOKUP($E19,'BDEW-Standard'!$B$3:$M$94,J$9,0),7)</f>
        <v>8.1593368999999996</v>
      </c>
      <c r="K19" s="231">
        <f>ROUND(VLOOKUP($E19,'BDEW-Standard'!$B$3:$M$94,K$9,0),7)</f>
        <v>4.72845E-2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0.86486713303260787</v>
      </c>
      <c r="R19" s="234">
        <f>ROUND(VLOOKUP(MID($E19,4,3),'Wochentag F(WT)'!$B$7:$J$22,R$9,0),4)</f>
        <v>1.0358000000000001</v>
      </c>
      <c r="S19" s="234">
        <f>ROUND(VLOOKUP(MID($E19,4,3),'Wochentag F(WT)'!$B$7:$J$22,S$9,0),4)</f>
        <v>1.0232000000000001</v>
      </c>
      <c r="T19" s="234">
        <f>ROUND(VLOOKUP(MID($E19,4,3),'Wochentag F(WT)'!$B$7:$J$22,T$9,0),4)</f>
        <v>1.0251999999999999</v>
      </c>
      <c r="U19" s="234">
        <f>ROUND(VLOOKUP(MID($E19,4,3),'Wochentag F(WT)'!$B$7:$J$22,U$9,0),4)</f>
        <v>1.0295000000000001</v>
      </c>
      <c r="V19" s="234">
        <f>ROUND(VLOOKUP(MID($E19,4,3),'Wochentag F(WT)'!$B$7:$J$22,V$9,0),4)</f>
        <v>1.0253000000000001</v>
      </c>
      <c r="W19" s="234">
        <f>ROUND(VLOOKUP(MID($E19,4,3),'Wochentag F(WT)'!$B$7:$J$22,W$9,0),4)</f>
        <v>0.96750000000000003</v>
      </c>
      <c r="X19" s="235">
        <f t="shared" si="2"/>
        <v>0.89350000000000041</v>
      </c>
      <c r="Y19" s="252"/>
      <c r="Z19" s="173"/>
    </row>
    <row r="20" spans="2:26" s="118" customFormat="1">
      <c r="B20" s="119">
        <v>9</v>
      </c>
      <c r="C20" s="120" t="str">
        <f t="shared" si="0"/>
        <v>Neubrandenburg</v>
      </c>
      <c r="D20" s="46" t="s">
        <v>248</v>
      </c>
      <c r="E20" s="139" t="s">
        <v>675</v>
      </c>
      <c r="F20" s="256" t="str">
        <f>VLOOKUP($E20,'BDEW-Standard'!$B$3:$M$94,F$9,0)</f>
        <v>KO4</v>
      </c>
      <c r="H20" s="231">
        <f>ROUND(VLOOKUP($E20,'BDEW-Standard'!$B$3:$M$94,H$9,0),7)</f>
        <v>3.4428942999999999</v>
      </c>
      <c r="I20" s="231">
        <f>ROUND(VLOOKUP($E20,'BDEW-Standard'!$B$3:$M$94,I$9,0),7)</f>
        <v>-36.659050399999998</v>
      </c>
      <c r="J20" s="231">
        <f>ROUND(VLOOKUP($E20,'BDEW-Standard'!$B$3:$M$94,J$9,0),7)</f>
        <v>7.6083226000000002</v>
      </c>
      <c r="K20" s="231">
        <f>ROUND(VLOOKUP($E20,'BDEW-Standard'!$B$3:$M$94,K$9,0),7)</f>
        <v>7.4685000000000001E-2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0.97768382110526542</v>
      </c>
      <c r="R20" s="234">
        <f>ROUND(VLOOKUP(MID($E20,4,3),'Wochentag F(WT)'!$B$7:$J$22,R$9,0),4)</f>
        <v>1.0354000000000001</v>
      </c>
      <c r="S20" s="234">
        <f>ROUND(VLOOKUP(MID($E20,4,3),'Wochentag F(WT)'!$B$7:$J$22,S$9,0),4)</f>
        <v>1.0523</v>
      </c>
      <c r="T20" s="234">
        <f>ROUND(VLOOKUP(MID($E20,4,3),'Wochentag F(WT)'!$B$7:$J$22,T$9,0),4)</f>
        <v>1.0448999999999999</v>
      </c>
      <c r="U20" s="234">
        <f>ROUND(VLOOKUP(MID($E20,4,3),'Wochentag F(WT)'!$B$7:$J$22,U$9,0),4)</f>
        <v>1.0494000000000001</v>
      </c>
      <c r="V20" s="234">
        <f>ROUND(VLOOKUP(MID($E20,4,3),'Wochentag F(WT)'!$B$7:$J$22,V$9,0),4)</f>
        <v>0.98850000000000005</v>
      </c>
      <c r="W20" s="234">
        <f>ROUND(VLOOKUP(MID($E20,4,3),'Wochentag F(WT)'!$B$7:$J$22,W$9,0),4)</f>
        <v>0.88600000000000001</v>
      </c>
      <c r="X20" s="235">
        <f t="shared" si="2"/>
        <v>0.94349999999999934</v>
      </c>
      <c r="Y20" s="252"/>
      <c r="Z20" s="173"/>
    </row>
    <row r="21" spans="2:26" s="118" customFormat="1">
      <c r="B21" s="119">
        <v>10</v>
      </c>
      <c r="C21" s="120" t="str">
        <f t="shared" si="0"/>
        <v>Neubrandenburg</v>
      </c>
      <c r="D21" s="46" t="s">
        <v>248</v>
      </c>
      <c r="E21" s="139" t="s">
        <v>676</v>
      </c>
      <c r="F21" s="256" t="str">
        <f>VLOOKUP($E21,'BDEW-Standard'!$B$3:$M$94,F$9,0)</f>
        <v>MF4</v>
      </c>
      <c r="H21" s="231">
        <f>ROUND(VLOOKUP($E21,'BDEW-Standard'!$B$3:$M$94,H$9,0),7)</f>
        <v>2.5187775000000001</v>
      </c>
      <c r="I21" s="231">
        <f>ROUND(VLOOKUP($E21,'BDEW-Standard'!$B$3:$M$94,I$9,0),7)</f>
        <v>-35.033375399999997</v>
      </c>
      <c r="J21" s="231">
        <f>ROUND(VLOOKUP($E21,'BDEW-Standard'!$B$3:$M$94,J$9,0),7)</f>
        <v>6.2240634000000004</v>
      </c>
      <c r="K21" s="231">
        <f>ROUND(VLOOKUP($E21,'BDEW-Standard'!$B$3:$M$94,K$9,0),7)</f>
        <v>0.10107820000000001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1.0146273685996503</v>
      </c>
      <c r="R21" s="234">
        <f>ROUND(VLOOKUP(MID($E21,4,3),'Wochentag F(WT)'!$B$7:$J$22,R$9,0),4)</f>
        <v>1.0354000000000001</v>
      </c>
      <c r="S21" s="234">
        <f>ROUND(VLOOKUP(MID($E21,4,3),'Wochentag F(WT)'!$B$7:$J$22,S$9,0),4)</f>
        <v>1.0523</v>
      </c>
      <c r="T21" s="234">
        <f>ROUND(VLOOKUP(MID($E21,4,3),'Wochentag F(WT)'!$B$7:$J$22,T$9,0),4)</f>
        <v>1.0448999999999999</v>
      </c>
      <c r="U21" s="234">
        <f>ROUND(VLOOKUP(MID($E21,4,3),'Wochentag F(WT)'!$B$7:$J$22,U$9,0),4)</f>
        <v>1.0494000000000001</v>
      </c>
      <c r="V21" s="234">
        <f>ROUND(VLOOKUP(MID($E21,4,3),'Wochentag F(WT)'!$B$7:$J$22,V$9,0),4)</f>
        <v>0.98850000000000005</v>
      </c>
      <c r="W21" s="234">
        <f>ROUND(VLOOKUP(MID($E21,4,3),'Wochentag F(WT)'!$B$7:$J$22,W$9,0),4)</f>
        <v>0.88600000000000001</v>
      </c>
      <c r="X21" s="235">
        <f t="shared" si="2"/>
        <v>0.94349999999999934</v>
      </c>
      <c r="Y21" s="252"/>
      <c r="Z21" s="173"/>
    </row>
    <row r="22" spans="2:26" s="118" customFormat="1">
      <c r="B22" s="119">
        <v>11</v>
      </c>
      <c r="C22" s="120" t="str">
        <f t="shared" si="0"/>
        <v>Neubrandenburg</v>
      </c>
      <c r="D22" s="46" t="s">
        <v>248</v>
      </c>
      <c r="E22" s="139" t="s">
        <v>677</v>
      </c>
      <c r="F22" s="256" t="str">
        <f>VLOOKUP($E22,'BDEW-Standard'!$B$3:$M$94,F$9,0)</f>
        <v>MK4</v>
      </c>
      <c r="H22" s="231">
        <f>ROUND(VLOOKUP($E22,'BDEW-Standard'!$B$3:$M$94,H$9,0),7)</f>
        <v>3.1177248</v>
      </c>
      <c r="I22" s="231">
        <f>ROUND(VLOOKUP($E22,'BDEW-Standard'!$B$3:$M$94,I$9,0),7)</f>
        <v>-35.871506199999999</v>
      </c>
      <c r="J22" s="231">
        <f>ROUND(VLOOKUP($E22,'BDEW-Standard'!$B$3:$M$94,J$9,0),7)</f>
        <v>7.5186828999999999</v>
      </c>
      <c r="K22" s="231">
        <f>ROUND(VLOOKUP($E22,'BDEW-Standard'!$B$3:$M$94,K$9,0),7)</f>
        <v>3.4330100000000002E-2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0.9622064996731321</v>
      </c>
      <c r="R22" s="234">
        <f>ROUND(VLOOKUP(MID($E22,4,3),'Wochentag F(WT)'!$B$7:$J$22,R$9,0),4)</f>
        <v>1.0699000000000001</v>
      </c>
      <c r="S22" s="234">
        <f>ROUND(VLOOKUP(MID($E22,4,3),'Wochentag F(WT)'!$B$7:$J$22,S$9,0),4)</f>
        <v>1.0365</v>
      </c>
      <c r="T22" s="234">
        <f>ROUND(VLOOKUP(MID($E22,4,3),'Wochentag F(WT)'!$B$7:$J$22,T$9,0),4)</f>
        <v>0.99329999999999996</v>
      </c>
      <c r="U22" s="234">
        <f>ROUND(VLOOKUP(MID($E22,4,3),'Wochentag F(WT)'!$B$7:$J$22,U$9,0),4)</f>
        <v>0.99480000000000002</v>
      </c>
      <c r="V22" s="234">
        <f>ROUND(VLOOKUP(MID($E22,4,3),'Wochentag F(WT)'!$B$7:$J$22,V$9,0),4)</f>
        <v>1.0659000000000001</v>
      </c>
      <c r="W22" s="234">
        <f>ROUND(VLOOKUP(MID($E22,4,3),'Wochentag F(WT)'!$B$7:$J$22,W$9,0),4)</f>
        <v>0.93620000000000003</v>
      </c>
      <c r="X22" s="235">
        <f t="shared" si="2"/>
        <v>0.90339999999999954</v>
      </c>
      <c r="Y22" s="252"/>
      <c r="Z22" s="173"/>
    </row>
    <row r="23" spans="2:26" s="118" customFormat="1">
      <c r="B23" s="119">
        <v>12</v>
      </c>
      <c r="C23" s="120" t="str">
        <f t="shared" si="0"/>
        <v>Neubrandenburg</v>
      </c>
      <c r="D23" s="46" t="s">
        <v>248</v>
      </c>
      <c r="E23" s="139" t="s">
        <v>678</v>
      </c>
      <c r="F23" s="256" t="str">
        <f>VLOOKUP($E23,'BDEW-Standard'!$B$3:$M$94,F$9,0)</f>
        <v>PD4</v>
      </c>
      <c r="H23" s="231">
        <f>ROUND(VLOOKUP($E23,'BDEW-Standard'!$B$3:$M$94,H$9,0),7)</f>
        <v>3.85</v>
      </c>
      <c r="I23" s="231">
        <f>ROUND(VLOOKUP($E23,'BDEW-Standard'!$B$3:$M$94,I$9,0),7)</f>
        <v>-37</v>
      </c>
      <c r="J23" s="231">
        <f>ROUND(VLOOKUP($E23,'BDEW-Standard'!$B$3:$M$94,J$9,0),7)</f>
        <v>10.2405021</v>
      </c>
      <c r="K23" s="231">
        <f>ROUND(VLOOKUP($E23,'BDEW-Standard'!$B$3:$M$94,K$9,0),7)</f>
        <v>4.6924300000000002E-2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0.75691065279879233</v>
      </c>
      <c r="R23" s="234">
        <f>ROUND(VLOOKUP(MID($E23,4,3),'Wochentag F(WT)'!$B$7:$J$22,R$9,0),4)</f>
        <v>1.0214000000000001</v>
      </c>
      <c r="S23" s="234">
        <f>ROUND(VLOOKUP(MID($E23,4,3),'Wochentag F(WT)'!$B$7:$J$22,S$9,0),4)</f>
        <v>1.0866</v>
      </c>
      <c r="T23" s="234">
        <f>ROUND(VLOOKUP(MID($E23,4,3),'Wochentag F(WT)'!$B$7:$J$22,T$9,0),4)</f>
        <v>1.0720000000000001</v>
      </c>
      <c r="U23" s="234">
        <f>ROUND(VLOOKUP(MID($E23,4,3),'Wochentag F(WT)'!$B$7:$J$22,U$9,0),4)</f>
        <v>1.0557000000000001</v>
      </c>
      <c r="V23" s="234">
        <f>ROUND(VLOOKUP(MID($E23,4,3),'Wochentag F(WT)'!$B$7:$J$22,V$9,0),4)</f>
        <v>1.0117</v>
      </c>
      <c r="W23" s="234">
        <f>ROUND(VLOOKUP(MID($E23,4,3),'Wochentag F(WT)'!$B$7:$J$22,W$9,0),4)</f>
        <v>0.90010000000000001</v>
      </c>
      <c r="X23" s="235">
        <f t="shared" si="2"/>
        <v>0.85249999999999915</v>
      </c>
      <c r="Y23" s="252"/>
      <c r="Z23" s="173"/>
    </row>
    <row r="24" spans="2:26" s="118" customFormat="1">
      <c r="B24" s="119">
        <v>13</v>
      </c>
      <c r="C24" s="120" t="str">
        <f t="shared" si="0"/>
        <v>Neubrandenburg</v>
      </c>
      <c r="D24" s="46" t="s">
        <v>248</v>
      </c>
      <c r="E24" s="139" t="s">
        <v>679</v>
      </c>
      <c r="F24" s="256" t="str">
        <f>VLOOKUP($E24,'BDEW-Standard'!$B$3:$M$94,F$9,0)</f>
        <v>WA4</v>
      </c>
      <c r="H24" s="231">
        <f>ROUND(VLOOKUP($E24,'BDEW-Standard'!$B$3:$M$94,H$9,0),7)</f>
        <v>1.0535874999999999</v>
      </c>
      <c r="I24" s="231">
        <f>ROUND(VLOOKUP($E24,'BDEW-Standard'!$B$3:$M$94,I$9,0),7)</f>
        <v>-35.299999999999997</v>
      </c>
      <c r="J24" s="231">
        <f>ROUND(VLOOKUP($E24,'BDEW-Standard'!$B$3:$M$94,J$9,0),7)</f>
        <v>4.8662747</v>
      </c>
      <c r="K24" s="231">
        <f>ROUND(VLOOKUP($E24,'BDEW-Standard'!$B$3:$M$94,K$9,0),7)</f>
        <v>0.68110420000000005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1.0844348950990992</v>
      </c>
      <c r="R24" s="234">
        <f>ROUND(VLOOKUP(MID($E24,4,3),'Wochentag F(WT)'!$B$7:$J$22,R$9,0),4)</f>
        <v>1.2457</v>
      </c>
      <c r="S24" s="234">
        <f>ROUND(VLOOKUP(MID($E24,4,3),'Wochentag F(WT)'!$B$7:$J$22,S$9,0),4)</f>
        <v>1.2615000000000001</v>
      </c>
      <c r="T24" s="234">
        <f>ROUND(VLOOKUP(MID($E24,4,3),'Wochentag F(WT)'!$B$7:$J$22,T$9,0),4)</f>
        <v>1.2706999999999999</v>
      </c>
      <c r="U24" s="234">
        <f>ROUND(VLOOKUP(MID($E24,4,3),'Wochentag F(WT)'!$B$7:$J$22,U$9,0),4)</f>
        <v>1.2430000000000001</v>
      </c>
      <c r="V24" s="234">
        <f>ROUND(VLOOKUP(MID($E24,4,3),'Wochentag F(WT)'!$B$7:$J$22,V$9,0),4)</f>
        <v>1.1275999999999999</v>
      </c>
      <c r="W24" s="234">
        <f>ROUND(VLOOKUP(MID($E24,4,3),'Wochentag F(WT)'!$B$7:$J$22,W$9,0),4)</f>
        <v>0.38769999999999999</v>
      </c>
      <c r="X24" s="235">
        <f t="shared" si="2"/>
        <v>0.46379999999999999</v>
      </c>
      <c r="Y24" s="252"/>
      <c r="Z24" s="173"/>
    </row>
    <row r="25" spans="2:26" s="118" customFormat="1">
      <c r="B25" s="119">
        <v>14</v>
      </c>
      <c r="C25" s="120" t="str">
        <f t="shared" si="0"/>
        <v>Neubrandenburg</v>
      </c>
      <c r="D25" s="46" t="s">
        <v>248</v>
      </c>
      <c r="E25" s="139" t="s">
        <v>4</v>
      </c>
      <c r="F25" s="256" t="str">
        <f>VLOOKUP($E25,'BDEW-Standard'!$B$3:$M$94,F$9,0)</f>
        <v>HK3</v>
      </c>
      <c r="H25" s="231">
        <f>ROUND(VLOOKUP($E25,'BDEW-Standard'!$B$3:$M$94,H$9,0),7)</f>
        <v>0.40409319999999999</v>
      </c>
      <c r="I25" s="231">
        <f>ROUND(VLOOKUP($E25,'BDEW-Standard'!$B$3:$M$94,I$9,0),7)</f>
        <v>-24.439296800000001</v>
      </c>
      <c r="J25" s="231">
        <f>ROUND(VLOOKUP($E25,'BDEW-Standard'!$B$3:$M$94,J$9,0),7)</f>
        <v>6.5718174999999999</v>
      </c>
      <c r="K25" s="231">
        <f>ROUND(VLOOKUP($E25,'BDEW-Standard'!$B$3:$M$94,K$9,0),7)</f>
        <v>0.71077100000000004</v>
      </c>
      <c r="L25" s="232">
        <f>ROUND(VLOOKUP($E25,'BDEW-Standard'!$B$3:$M$94,L$9,0),1)</f>
        <v>40</v>
      </c>
      <c r="M25" s="231">
        <f>ROUND(VLOOKUP($E25,'BDEW-Standard'!$B$3:$M$94,M$9,0),7)</f>
        <v>0</v>
      </c>
      <c r="N25" s="231">
        <f>ROUND(VLOOKUP($E25,'BDEW-Standard'!$B$3:$M$94,N$9,0),7)</f>
        <v>0</v>
      </c>
      <c r="O25" s="231">
        <f>ROUND(VLOOKUP($E25,'BDEW-Standard'!$B$3:$M$94,O$9,0),7)</f>
        <v>0</v>
      </c>
      <c r="P25" s="231">
        <f>ROUND(VLOOKUP($E25,'BDEW-Standard'!$B$3:$M$94,P$9,0),7)</f>
        <v>0</v>
      </c>
      <c r="Q25" s="233">
        <f t="shared" si="1"/>
        <v>1.0561214000512988</v>
      </c>
      <c r="R25" s="234">
        <f>ROUND(VLOOKUP(MID($E25,4,3),'Wochentag F(WT)'!$B$7:$J$22,R$9,0),4)</f>
        <v>1</v>
      </c>
      <c r="S25" s="234">
        <f>ROUND(VLOOKUP(MID($E25,4,3),'Wochentag F(WT)'!$B$7:$J$22,S$9,0),4)</f>
        <v>1</v>
      </c>
      <c r="T25" s="234">
        <f>ROUND(VLOOKUP(MID($E25,4,3),'Wochentag F(WT)'!$B$7:$J$22,T$9,0),4)</f>
        <v>1</v>
      </c>
      <c r="U25" s="234">
        <f>ROUND(VLOOKUP(MID($E25,4,3),'Wochentag F(WT)'!$B$7:$J$22,U$9,0),4)</f>
        <v>1</v>
      </c>
      <c r="V25" s="234">
        <f>ROUND(VLOOKUP(MID($E25,4,3),'Wochentag F(WT)'!$B$7:$J$22,V$9,0),4)</f>
        <v>1</v>
      </c>
      <c r="W25" s="234">
        <f>ROUND(VLOOKUP(MID($E25,4,3),'Wochentag F(WT)'!$B$7:$J$22,W$9,0),4)</f>
        <v>1</v>
      </c>
      <c r="X25" s="235">
        <f t="shared" si="2"/>
        <v>1</v>
      </c>
      <c r="Y25" s="252"/>
      <c r="Z25" s="173"/>
    </row>
    <row r="26" spans="2:26" s="118" customFormat="1">
      <c r="B26" s="119">
        <v>15</v>
      </c>
      <c r="C26" s="120" t="str">
        <f t="shared" si="0"/>
        <v>Neubrandenburg</v>
      </c>
      <c r="D26" s="46"/>
      <c r="E26" s="139"/>
      <c r="F26" s="256"/>
      <c r="H26" s="231"/>
      <c r="I26" s="231"/>
      <c r="J26" s="231"/>
      <c r="K26" s="231"/>
      <c r="L26" s="232"/>
      <c r="M26" s="231"/>
      <c r="N26" s="231"/>
      <c r="O26" s="231"/>
      <c r="P26" s="231"/>
      <c r="Q26" s="233"/>
      <c r="R26" s="234"/>
      <c r="S26" s="234"/>
      <c r="T26" s="234"/>
      <c r="U26" s="234"/>
      <c r="V26" s="234"/>
      <c r="W26" s="234"/>
      <c r="X26" s="235"/>
      <c r="Y26" s="252"/>
      <c r="Z26" s="173"/>
    </row>
    <row r="27" spans="2:26" s="118" customFormat="1">
      <c r="B27" s="119">
        <v>16</v>
      </c>
      <c r="C27" s="120" t="str">
        <f t="shared" si="0"/>
        <v>Neubrandenburg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Neubrandenburg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Neubrandenburg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Neubrandenburg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Neubrandenburg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Neubrandenburg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Neubrandenburg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Neubrandenburg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Neubrandenburg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Neubrandenburg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Neubrandenburg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Neubrandenburg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Neubrandenburg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Neubrandenburg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Neubrandenburg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25">
    <cfRule type="duplicateValues" dxfId="10" priority="1"/>
  </conditionalFormatting>
  <conditionalFormatting sqref="E26:F41 Y12:Y41 F12:F25">
    <cfRule type="duplicateValues" dxfId="9" priority="32"/>
  </conditionalFormatting>
  <conditionalFormatting sqref="H11:Y41 F11:F41">
    <cfRule type="expression" dxfId="8" priority="10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E26:E41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545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topLeftCell="A2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Neubrandenburger Stadtwerke GmbH</v>
      </c>
      <c r="D4" s="58"/>
      <c r="G4" s="58"/>
      <c r="I4" s="58"/>
      <c r="J4" s="59"/>
      <c r="M4" s="67" t="s">
        <v>539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Neubrandenburg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 t="str">
        <f>Netzbetreiber!$D$11</f>
        <v>9870094500006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39722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455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6" t="s">
        <v>583</v>
      </c>
      <c r="C10" s="297"/>
      <c r="D10" s="73">
        <v>2</v>
      </c>
      <c r="E10" s="74" t="str">
        <f>IF(ISERROR(HLOOKUP(E$11,$M$9:$AD$35,$D10,0)),"",HLOOKUP(E$11,$M$9:$AD$35,$D10,0))</f>
        <v/>
      </c>
      <c r="F10" s="294" t="s">
        <v>395</v>
      </c>
      <c r="G10" s="294"/>
      <c r="H10" s="294"/>
      <c r="I10" s="294"/>
      <c r="J10" s="294"/>
      <c r="K10" s="294"/>
      <c r="L10" s="295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651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649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63">
        <f t="shared" si="0"/>
        <v>0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63">
        <f t="shared" si="0"/>
        <v>0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650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63">
        <f t="shared" si="0"/>
        <v>0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545</v>
      </c>
      <c r="O1" s="194"/>
    </row>
    <row r="2" spans="1:16">
      <c r="A2" s="194"/>
      <c r="B2" s="194" t="s">
        <v>453</v>
      </c>
    </row>
    <row r="3" spans="1:16" ht="20.100000000000001" customHeight="1">
      <c r="A3" s="298" t="s">
        <v>249</v>
      </c>
      <c r="B3" s="195" t="s">
        <v>86</v>
      </c>
      <c r="C3" s="196"/>
      <c r="D3" s="300" t="s">
        <v>454</v>
      </c>
      <c r="E3" s="301"/>
      <c r="F3" s="301"/>
      <c r="G3" s="301"/>
      <c r="H3" s="301"/>
      <c r="I3" s="301"/>
      <c r="J3" s="302"/>
      <c r="K3" s="197"/>
      <c r="L3" s="197"/>
      <c r="M3" s="197"/>
      <c r="N3" s="197"/>
      <c r="O3" s="154"/>
      <c r="P3" s="197"/>
    </row>
    <row r="4" spans="1:16" ht="20.100000000000001" customHeight="1">
      <c r="A4" s="299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Fink, Eva (neu.sw)</cp:lastModifiedBy>
  <cp:lastPrinted>2015-03-20T22:59:10Z</cp:lastPrinted>
  <dcterms:created xsi:type="dcterms:W3CDTF">2015-01-15T05:25:41Z</dcterms:created>
  <dcterms:modified xsi:type="dcterms:W3CDTF">2024-07-16T10:01:07Z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